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720" windowHeight="7320" activeTab="2"/>
  </bookViews>
  <sheets>
    <sheet name="Activity Levels" sheetId="1" r:id="rId1"/>
    <sheet name="Emissions" sheetId="2" r:id="rId2"/>
    <sheet name="Operating Statistics" sheetId="3" r:id="rId3"/>
  </sheets>
  <definedNames/>
  <calcPr fullCalcOnLoad="1"/>
</workbook>
</file>

<file path=xl/sharedStrings.xml><?xml version="1.0" encoding="utf-8"?>
<sst xmlns="http://schemas.openxmlformats.org/spreadsheetml/2006/main" count="149" uniqueCount="110">
  <si>
    <t>Urban bus lifetime (years)</t>
  </si>
  <si>
    <t>Input Data</t>
  </si>
  <si>
    <t>Percent cofunded by FTA</t>
  </si>
  <si>
    <t>Mobile Source Running Emission Factors</t>
  </si>
  <si>
    <t>Combustion</t>
  </si>
  <si>
    <t>Tire Wear</t>
  </si>
  <si>
    <t>Brake Wear</t>
  </si>
  <si>
    <t>Vehicle Type</t>
  </si>
  <si>
    <t xml:space="preserve"> CO</t>
  </si>
  <si>
    <t xml:space="preserve"> VOC*</t>
  </si>
  <si>
    <t xml:space="preserve"> NOx</t>
  </si>
  <si>
    <t>PM10</t>
  </si>
  <si>
    <t xml:space="preserve"> PM10</t>
  </si>
  <si>
    <t>g/mile</t>
  </si>
  <si>
    <t>Source:  CARB's MVEIG Program, 2000 (summer), non-enhanced I/M</t>
  </si>
  <si>
    <t>* Includes exhaust and evaporative running losses</t>
  </si>
  <si>
    <t>Mobile Source Start-Up, Hot Soak and Diurnal Emission Factors</t>
  </si>
  <si>
    <t>Start-Up</t>
  </si>
  <si>
    <t>Hot Soak</t>
  </si>
  <si>
    <t>Diurnal</t>
  </si>
  <si>
    <t xml:space="preserve"> CO*</t>
  </si>
  <si>
    <t xml:space="preserve"> VOC</t>
  </si>
  <si>
    <t xml:space="preserve"> VOC**</t>
  </si>
  <si>
    <t xml:space="preserve"> NOx*</t>
  </si>
  <si>
    <t>g/start</t>
  </si>
  <si>
    <t>g/soak</t>
  </si>
  <si>
    <t>g/day</t>
  </si>
  <si>
    <t>* After 720 minutes</t>
  </si>
  <si>
    <t>* Includes diurnal and resting losses</t>
  </si>
  <si>
    <t>Urban Bus</t>
  </si>
  <si>
    <t>Light Duty Auto (cat)</t>
  </si>
  <si>
    <t>Urban bus at 10 mph, Light duty auto at 25 mph</t>
  </si>
  <si>
    <t>VMT</t>
  </si>
  <si>
    <t>Starts</t>
  </si>
  <si>
    <t>N/A</t>
  </si>
  <si>
    <t>CO</t>
  </si>
  <si>
    <t>lb/day</t>
  </si>
  <si>
    <t>VOC</t>
  </si>
  <si>
    <t>NOx</t>
  </si>
  <si>
    <t>Net Change</t>
  </si>
  <si>
    <t>Annual average passenger miles per bus</t>
  </si>
  <si>
    <t>Annual average passenger trips per bus</t>
  </si>
  <si>
    <t>Bus miles eliminated each day</t>
  </si>
  <si>
    <t>mi/day</t>
  </si>
  <si>
    <t>per day</t>
  </si>
  <si>
    <t>Vehicles</t>
  </si>
  <si>
    <t>Source</t>
  </si>
  <si>
    <t>District Estimate</t>
  </si>
  <si>
    <t>Number of diesel-fueled buses for smaller transit agencies and Prop A cities</t>
  </si>
  <si>
    <t>CRF</t>
  </si>
  <si>
    <t>Total capital cost to replace fleet with diesel-fueled buses ($ million)</t>
  </si>
  <si>
    <t>Purchase price of new diesel bus ($ per bus)</t>
  </si>
  <si>
    <t>Purchase price of new diesel bus after cofunding ($/bus)</t>
  </si>
  <si>
    <t>Purchase price to replace buses with new diesel-fueled buses ($ million)</t>
  </si>
  <si>
    <t>Operating and maintenance costs for diesel-fueled bus ($/mile)</t>
  </si>
  <si>
    <t>Annual VMT per bus</t>
  </si>
  <si>
    <t>Annual O&amp;M cost per diesel-fueled bus ($/bus)</t>
  </si>
  <si>
    <t>Annual diesel-fueled bus O&amp;M cost for fleet ($ million)</t>
  </si>
  <si>
    <t>Diesel-fueled O&amp;M cost for diesel-fueled bus fleet over fleet lifetime ($ million)</t>
  </si>
  <si>
    <t>Total cost for diesel-fueled fleet over fleet lifetime ($ million)</t>
  </si>
  <si>
    <t>Incremental CNG-fueled bus capital and O&amp;M costs over bus lifetime ($/bus)</t>
  </si>
  <si>
    <t>Annualized capital cost to replace fleet with diesel-fueled buses ($ million)</t>
  </si>
  <si>
    <t>CNG-fueled bus capital and O&amp;M costs over bus lifetime ($/bus)</t>
  </si>
  <si>
    <t>Number of CNG-fueled buses for diesel-fueled bus costs</t>
  </si>
  <si>
    <t>Number of buses operated longer to accommodate shortfall (50%)</t>
  </si>
  <si>
    <t>Number of buses removed from service to accommodate shortfall (50%)</t>
  </si>
  <si>
    <t>Operating days per year</t>
  </si>
  <si>
    <t>Total</t>
  </si>
  <si>
    <t>Average number of buses removed from service each year</t>
  </si>
  <si>
    <t>TRANSIT AGENCY 1998 OPERATING STATISTICS</t>
  </si>
  <si>
    <t>Transit Agency</t>
  </si>
  <si>
    <t>Number Buses</t>
  </si>
  <si>
    <t>Passenger Miles</t>
  </si>
  <si>
    <t>Unlinked Trips</t>
  </si>
  <si>
    <t>Revenue Miles</t>
  </si>
  <si>
    <t>Fare Revenues</t>
  </si>
  <si>
    <t>Avg. Passenger Miles/Bus</t>
  </si>
  <si>
    <t>Avg. Passenger Trips/Bus</t>
  </si>
  <si>
    <t>Avg Fare Revenue/Bus</t>
  </si>
  <si>
    <t>Culver City Municipal Bus Lines</t>
  </si>
  <si>
    <t>Laidlaw Transit Services (Foothill Transit)</t>
  </si>
  <si>
    <t>Ryder/ATE (Foothill Transit)</t>
  </si>
  <si>
    <t>City of Gardena Transportation Department</t>
  </si>
  <si>
    <t>Long Beach Public Transportation Company</t>
  </si>
  <si>
    <t>Los Angeles Department of Transportation</t>
  </si>
  <si>
    <t>Montenello Bus Lines</t>
  </si>
  <si>
    <t>Norwalk Transit System</t>
  </si>
  <si>
    <t>Riverside Transit Agency</t>
  </si>
  <si>
    <t>Santa Monica Municipal Bus Lines</t>
  </si>
  <si>
    <t>Santa Clarita Transit</t>
  </si>
  <si>
    <t>Totals</t>
  </si>
  <si>
    <t>Excluded from Totals and Averages</t>
  </si>
  <si>
    <t>Arcadia Transit</t>
  </si>
  <si>
    <t>City of Commerce Municipal Bus Lines</t>
  </si>
  <si>
    <t>City of Riverside Special Transportation</t>
  </si>
  <si>
    <t>Source: 1998 National Transit Database</t>
  </si>
  <si>
    <t>1998 Small Transit District Average</t>
  </si>
  <si>
    <t>Need Reference from Paul</t>
  </si>
  <si>
    <t>Daily average passenger miles per bus</t>
  </si>
  <si>
    <t>Daily average passenger trips per bus</t>
  </si>
  <si>
    <t>Daily average passenger miles from buses removed from service</t>
  </si>
  <si>
    <t>Daily average passenger trips from buses removed from service</t>
  </si>
  <si>
    <t>Percent of passengers carpooling or using alternate mode of mass transit</t>
  </si>
  <si>
    <t>Percent of remaining passengers using different bus</t>
  </si>
  <si>
    <t>Daily average increase in private vehicle VMT</t>
  </si>
  <si>
    <t>Daily average increase in private vehicle trips</t>
  </si>
  <si>
    <t>Daily average increase in private vehicles</t>
  </si>
  <si>
    <t>Percent of passengers making new private vehicle trips</t>
  </si>
  <si>
    <t>CHANGES IN ACTIVITY LEVELS FROM ELIMINATING TRANSIT BUSES</t>
  </si>
  <si>
    <t>CHANGES IN EMISSIONS FROM ELIMINATING TRANSIT BUSES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</si>
</sst>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9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3"/>
  <sheetViews>
    <sheetView zoomScalePageLayoutView="0" workbookViewId="0" topLeftCell="A1">
      <selection activeCell="A4" sqref="A4"/>
    </sheetView>
  </sheetViews>
  <sheetFormatPr defaultColWidth="9.33203125" defaultRowHeight="12.75"/>
  <cols>
    <col min="1" max="1" width="64.5" style="9" customWidth="1"/>
    <col min="2" max="2" width="13.83203125" style="9" customWidth="1"/>
    <col min="3" max="3" width="27" style="9" customWidth="1"/>
    <col min="4" max="16384" width="9.33203125" style="9" customWidth="1"/>
  </cols>
  <sheetData>
    <row r="3" spans="1:3" s="22" customFormat="1" ht="12.75">
      <c r="A3" s="1" t="s">
        <v>108</v>
      </c>
      <c r="B3" s="2"/>
      <c r="C3" s="21"/>
    </row>
    <row r="4" s="2" customFormat="1" ht="12.75">
      <c r="A4" s="1"/>
    </row>
    <row r="5" spans="1:3" s="2" customFormat="1" ht="12.75">
      <c r="A5" s="1" t="s">
        <v>1</v>
      </c>
      <c r="C5" s="1" t="s">
        <v>46</v>
      </c>
    </row>
    <row r="6" spans="1:3" ht="12.75">
      <c r="A6" s="2" t="s">
        <v>48</v>
      </c>
      <c r="B6" s="15">
        <v>1150</v>
      </c>
      <c r="C6" s="8" t="s">
        <v>47</v>
      </c>
    </row>
    <row r="7" spans="1:3" ht="12.75">
      <c r="A7" s="9" t="s">
        <v>0</v>
      </c>
      <c r="B7" s="9">
        <v>12</v>
      </c>
      <c r="C7" s="8" t="s">
        <v>47</v>
      </c>
    </row>
    <row r="8" spans="1:3" s="25" customFormat="1" ht="12.75">
      <c r="A8" s="9" t="s">
        <v>51</v>
      </c>
      <c r="B8" s="23">
        <v>300000</v>
      </c>
      <c r="C8" s="24" t="s">
        <v>97</v>
      </c>
    </row>
    <row r="9" spans="1:3" s="25" customFormat="1" ht="12.75">
      <c r="A9" s="25" t="s">
        <v>2</v>
      </c>
      <c r="B9" s="25">
        <v>83</v>
      </c>
      <c r="C9" s="24" t="s">
        <v>97</v>
      </c>
    </row>
    <row r="10" spans="1:3" ht="12.75">
      <c r="A10" s="25" t="s">
        <v>52</v>
      </c>
      <c r="B10" s="26">
        <f>(1-B9/100)*B8</f>
        <v>51000.000000000015</v>
      </c>
      <c r="C10" s="27"/>
    </row>
    <row r="11" spans="1:3" ht="12.75">
      <c r="A11" s="9" t="s">
        <v>53</v>
      </c>
      <c r="B11" s="28">
        <f>B10*B6/1000000</f>
        <v>58.65000000000001</v>
      </c>
      <c r="C11" s="27"/>
    </row>
    <row r="12" spans="1:3" ht="12.75">
      <c r="A12" s="9" t="s">
        <v>49</v>
      </c>
      <c r="B12" s="9">
        <v>0.113</v>
      </c>
      <c r="C12" s="8" t="s">
        <v>47</v>
      </c>
    </row>
    <row r="13" spans="1:3" ht="12.75">
      <c r="A13" s="9" t="s">
        <v>61</v>
      </c>
      <c r="B13" s="28">
        <f>B12*B11</f>
        <v>6.627450000000001</v>
      </c>
      <c r="C13" s="27"/>
    </row>
    <row r="14" spans="1:3" ht="12.75">
      <c r="A14" s="9" t="s">
        <v>50</v>
      </c>
      <c r="B14" s="28">
        <f>B13*B7</f>
        <v>79.52940000000001</v>
      </c>
      <c r="C14" s="27"/>
    </row>
    <row r="15" spans="1:3" ht="12.75">
      <c r="A15" s="9" t="s">
        <v>54</v>
      </c>
      <c r="B15" s="29">
        <v>0.56</v>
      </c>
      <c r="C15" s="8" t="s">
        <v>47</v>
      </c>
    </row>
    <row r="16" spans="1:3" ht="12.75">
      <c r="A16" s="9" t="s">
        <v>55</v>
      </c>
      <c r="B16" s="30">
        <v>40000</v>
      </c>
      <c r="C16" s="8" t="s">
        <v>47</v>
      </c>
    </row>
    <row r="17" spans="1:3" ht="12.75">
      <c r="A17" s="9" t="s">
        <v>56</v>
      </c>
      <c r="B17" s="23">
        <f>B15*B16</f>
        <v>22400.000000000004</v>
      </c>
      <c r="C17" s="27"/>
    </row>
    <row r="18" spans="1:3" ht="12.75">
      <c r="A18" s="9" t="s">
        <v>57</v>
      </c>
      <c r="B18" s="28">
        <f>B17*B6/1000000</f>
        <v>25.760000000000005</v>
      </c>
      <c r="C18" s="27"/>
    </row>
    <row r="19" spans="1:3" ht="12.75">
      <c r="A19" s="9" t="s">
        <v>58</v>
      </c>
      <c r="B19" s="28">
        <f>B18*B7</f>
        <v>309.12000000000006</v>
      </c>
      <c r="C19" s="27"/>
    </row>
    <row r="20" spans="1:3" ht="12.75">
      <c r="A20" s="9" t="s">
        <v>59</v>
      </c>
      <c r="B20" s="28">
        <f>B19+B14</f>
        <v>388.64940000000007</v>
      </c>
      <c r="C20" s="27"/>
    </row>
    <row r="21" spans="1:3" ht="12.75">
      <c r="A21" s="9" t="s">
        <v>60</v>
      </c>
      <c r="B21" s="23">
        <v>20300</v>
      </c>
      <c r="C21" s="8" t="s">
        <v>47</v>
      </c>
    </row>
    <row r="22" spans="1:3" ht="12.75">
      <c r="A22" s="9" t="s">
        <v>62</v>
      </c>
      <c r="B22" s="23">
        <f>B21+B20*1000000/B6</f>
        <v>358256.00000000006</v>
      </c>
      <c r="C22" s="27"/>
    </row>
    <row r="23" spans="1:3" ht="12.75">
      <c r="A23" s="9" t="s">
        <v>63</v>
      </c>
      <c r="B23" s="30">
        <f>ROUNDDOWN(B20*1000000/B22,0)</f>
        <v>1084</v>
      </c>
      <c r="C23" s="27"/>
    </row>
    <row r="24" spans="1:3" ht="12.75">
      <c r="A24" s="9" t="s">
        <v>64</v>
      </c>
      <c r="B24" s="9">
        <f>ROUND(0.5*(B6-B23),0)</f>
        <v>33</v>
      </c>
      <c r="C24" s="27"/>
    </row>
    <row r="25" spans="1:3" ht="12.75">
      <c r="A25" s="9" t="s">
        <v>65</v>
      </c>
      <c r="B25" s="9">
        <f>B24</f>
        <v>33</v>
      </c>
      <c r="C25" s="27"/>
    </row>
    <row r="26" spans="1:3" ht="12.75">
      <c r="A26" s="9" t="s">
        <v>68</v>
      </c>
      <c r="B26" s="9">
        <f>ROUND(B25/B7,0)</f>
        <v>3</v>
      </c>
      <c r="C26" s="27"/>
    </row>
    <row r="27" spans="1:3" ht="12.75">
      <c r="A27" s="9" t="s">
        <v>40</v>
      </c>
      <c r="B27" s="30">
        <f>'Operating Statistics'!H15</f>
        <v>384217.1223091977</v>
      </c>
      <c r="C27" s="27" t="s">
        <v>96</v>
      </c>
    </row>
    <row r="28" spans="1:3" ht="12.75">
      <c r="A28" s="9" t="s">
        <v>41</v>
      </c>
      <c r="B28" s="30">
        <f>'Operating Statistics'!I15</f>
        <v>93228.23091976516</v>
      </c>
      <c r="C28" s="27" t="s">
        <v>96</v>
      </c>
    </row>
    <row r="29" spans="1:3" ht="12.75">
      <c r="A29" s="9" t="s">
        <v>66</v>
      </c>
      <c r="B29" s="30">
        <v>365</v>
      </c>
      <c r="C29" s="27"/>
    </row>
    <row r="30" spans="1:3" ht="12.75">
      <c r="A30" s="9" t="s">
        <v>98</v>
      </c>
      <c r="B30" s="30">
        <f>B27/B29</f>
        <v>1052.6496501621855</v>
      </c>
      <c r="C30" s="27"/>
    </row>
    <row r="31" spans="1:3" ht="12.75">
      <c r="A31" s="9" t="s">
        <v>99</v>
      </c>
      <c r="B31" s="30">
        <f>B28/B29</f>
        <v>255.41981073908264</v>
      </c>
      <c r="C31" s="27"/>
    </row>
    <row r="32" spans="1:3" ht="12.75">
      <c r="A32" s="9" t="s">
        <v>100</v>
      </c>
      <c r="B32" s="30">
        <f>B30*B26</f>
        <v>3157.9489504865564</v>
      </c>
      <c r="C32" s="27"/>
    </row>
    <row r="33" spans="1:3" ht="12.75">
      <c r="A33" s="9" t="s">
        <v>101</v>
      </c>
      <c r="B33" s="30">
        <f>B31*B26</f>
        <v>766.2594322172479</v>
      </c>
      <c r="C33" s="27"/>
    </row>
    <row r="34" spans="1:3" ht="12.75">
      <c r="A34" s="9" t="s">
        <v>102</v>
      </c>
      <c r="B34" s="30">
        <v>23</v>
      </c>
      <c r="C34" s="27"/>
    </row>
    <row r="35" spans="1:3" ht="12.75">
      <c r="A35" s="9" t="s">
        <v>103</v>
      </c>
      <c r="B35" s="30">
        <v>25</v>
      </c>
      <c r="C35" s="27"/>
    </row>
    <row r="36" spans="1:3" ht="12.75">
      <c r="A36" s="9" t="s">
        <v>107</v>
      </c>
      <c r="B36" s="31">
        <f>(1-B34/100)*(1-B35/100)*100</f>
        <v>57.75</v>
      </c>
      <c r="C36" s="27"/>
    </row>
    <row r="37" spans="1:3" ht="12.75">
      <c r="A37" s="9" t="s">
        <v>104</v>
      </c>
      <c r="B37" s="30">
        <f>B36*B32/100</f>
        <v>1823.7155189059863</v>
      </c>
      <c r="C37" s="27"/>
    </row>
    <row r="38" spans="1:3" ht="12.75">
      <c r="A38" s="9" t="s">
        <v>105</v>
      </c>
      <c r="B38" s="30">
        <f>ROUNDUP(B33*B36/100,0)</f>
        <v>443</v>
      </c>
      <c r="C38" s="27"/>
    </row>
    <row r="39" spans="1:3" ht="12.75">
      <c r="A39" s="9" t="s">
        <v>106</v>
      </c>
      <c r="B39" s="30">
        <f>B38/2</f>
        <v>221.5</v>
      </c>
      <c r="C39" s="27"/>
    </row>
    <row r="40" spans="1:3" ht="12.75">
      <c r="A40" s="9" t="s">
        <v>42</v>
      </c>
      <c r="B40" s="30">
        <f>B16*B26/B29</f>
        <v>328.7671232876712</v>
      </c>
      <c r="C40" s="8"/>
    </row>
    <row r="42" ht="12.75">
      <c r="A42" s="8"/>
    </row>
    <row r="43" ht="12.75">
      <c r="A43" s="8"/>
    </row>
  </sheetData>
  <sheetProtection/>
  <printOptions/>
  <pageMargins left="0.75" right="0.75" top="0.75" bottom="0.75" header="0.5" footer="0.5"/>
  <pageSetup orientation="landscape" scale="95" r:id="rId1"/>
  <headerFooter alignWithMargins="0">
    <oddFooter>&amp;L&amp;F, &amp;A&amp;CPage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">
      <selection activeCell="A4" sqref="A4"/>
    </sheetView>
  </sheetViews>
  <sheetFormatPr defaultColWidth="9.33203125" defaultRowHeight="12.75"/>
  <cols>
    <col min="1" max="1" width="18.33203125" style="9" customWidth="1"/>
    <col min="2" max="2" width="10.33203125" style="9" customWidth="1"/>
    <col min="3" max="3" width="12.16015625" style="9" customWidth="1"/>
    <col min="4" max="4" width="9.33203125" style="9" customWidth="1"/>
    <col min="5" max="5" width="11.83203125" style="9" customWidth="1"/>
    <col min="6" max="6" width="10.16015625" style="9" customWidth="1"/>
    <col min="7" max="8" width="11.83203125" style="9" customWidth="1"/>
    <col min="9" max="9" width="10.16015625" style="9" customWidth="1"/>
    <col min="10" max="10" width="11.83203125" style="9" customWidth="1"/>
    <col min="11" max="16384" width="9.33203125" style="9" customWidth="1"/>
  </cols>
  <sheetData>
    <row r="3" s="2" customFormat="1" ht="12.75">
      <c r="A3" s="1" t="s">
        <v>109</v>
      </c>
    </row>
    <row r="6" s="2" customFormat="1" ht="12.75">
      <c r="A6" s="1" t="s">
        <v>3</v>
      </c>
    </row>
    <row r="7" spans="5:7" s="2" customFormat="1" ht="12.75">
      <c r="E7" s="1" t="s">
        <v>4</v>
      </c>
      <c r="F7" s="3" t="s">
        <v>5</v>
      </c>
      <c r="G7" s="3" t="s">
        <v>6</v>
      </c>
    </row>
    <row r="8" spans="1:7" s="2" customFormat="1" ht="12.7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12</v>
      </c>
    </row>
    <row r="9" spans="2:7" s="2" customFormat="1" ht="12.75">
      <c r="B9" s="4" t="s">
        <v>13</v>
      </c>
      <c r="C9" s="4" t="s">
        <v>13</v>
      </c>
      <c r="D9" s="4" t="s">
        <v>13</v>
      </c>
      <c r="E9" s="4" t="s">
        <v>13</v>
      </c>
      <c r="F9" s="4" t="s">
        <v>13</v>
      </c>
      <c r="G9" s="4" t="s">
        <v>13</v>
      </c>
    </row>
    <row r="10" spans="2:7" s="2" customFormat="1" ht="12.75">
      <c r="B10" s="5"/>
      <c r="C10" s="5"/>
      <c r="D10" s="5"/>
      <c r="E10" s="6"/>
      <c r="F10" s="5"/>
      <c r="G10" s="5"/>
    </row>
    <row r="11" spans="1:7" s="2" customFormat="1" ht="12.75">
      <c r="A11" s="2" t="s">
        <v>29</v>
      </c>
      <c r="B11" s="7">
        <v>4.96</v>
      </c>
      <c r="C11" s="7">
        <v>4.08</v>
      </c>
      <c r="D11" s="7">
        <v>25.05</v>
      </c>
      <c r="E11" s="7">
        <v>0.31</v>
      </c>
      <c r="F11" s="7">
        <v>0.03</v>
      </c>
      <c r="G11" s="7">
        <v>0.01</v>
      </c>
    </row>
    <row r="12" spans="1:7" s="2" customFormat="1" ht="12.75">
      <c r="A12" s="2" t="s">
        <v>30</v>
      </c>
      <c r="B12" s="7">
        <v>4.7</v>
      </c>
      <c r="C12" s="7">
        <f>0.25+0.116</f>
        <v>0.366</v>
      </c>
      <c r="D12" s="7">
        <v>0.51</v>
      </c>
      <c r="E12" s="7">
        <v>0</v>
      </c>
      <c r="F12" s="7">
        <v>0.01</v>
      </c>
      <c r="G12" s="7">
        <v>0.01</v>
      </c>
    </row>
    <row r="13" spans="2:7" s="2" customFormat="1" ht="12.75">
      <c r="B13" s="5"/>
      <c r="C13" s="5"/>
      <c r="D13" s="5"/>
      <c r="E13" s="6"/>
      <c r="F13" s="5"/>
      <c r="G13" s="5"/>
    </row>
    <row r="14" spans="1:7" ht="12.75">
      <c r="A14" s="8" t="s">
        <v>14</v>
      </c>
      <c r="C14" s="10"/>
      <c r="D14" s="10"/>
      <c r="E14" s="10"/>
      <c r="F14" s="11"/>
      <c r="G14" s="11"/>
    </row>
    <row r="15" spans="1:7" ht="12.75">
      <c r="A15" s="8" t="s">
        <v>31</v>
      </c>
      <c r="C15" s="10"/>
      <c r="D15" s="10"/>
      <c r="E15" s="10"/>
      <c r="F15" s="11"/>
      <c r="G15" s="11"/>
    </row>
    <row r="16" spans="1:7" ht="12.75">
      <c r="A16" s="8" t="s">
        <v>15</v>
      </c>
      <c r="C16" s="10"/>
      <c r="D16" s="10"/>
      <c r="E16" s="10"/>
      <c r="F16" s="11"/>
      <c r="G16" s="11"/>
    </row>
    <row r="17" spans="1:7" ht="12.75">
      <c r="A17" s="8"/>
      <c r="C17" s="10"/>
      <c r="D17" s="10"/>
      <c r="E17" s="10"/>
      <c r="F17" s="11"/>
      <c r="G17" s="11"/>
    </row>
    <row r="18" spans="1:7" ht="12.75">
      <c r="A18" s="8"/>
      <c r="C18" s="10"/>
      <c r="D18" s="10"/>
      <c r="E18" s="10"/>
      <c r="F18" s="11"/>
      <c r="G18" s="11"/>
    </row>
    <row r="19" spans="1:7" s="2" customFormat="1" ht="12.75">
      <c r="A19" s="1" t="s">
        <v>16</v>
      </c>
      <c r="G19" s="12"/>
    </row>
    <row r="20" spans="1:7" s="2" customFormat="1" ht="12.75">
      <c r="A20" s="1"/>
      <c r="G20" s="12"/>
    </row>
    <row r="21" spans="2:7" s="2" customFormat="1" ht="12.75">
      <c r="B21" s="3" t="s">
        <v>17</v>
      </c>
      <c r="C21" s="3" t="s">
        <v>17</v>
      </c>
      <c r="D21" s="3" t="s">
        <v>18</v>
      </c>
      <c r="E21" s="3" t="s">
        <v>19</v>
      </c>
      <c r="F21" s="3" t="s">
        <v>17</v>
      </c>
      <c r="G21" s="12"/>
    </row>
    <row r="22" spans="1:7" s="2" customFormat="1" ht="12.75">
      <c r="A22" s="3" t="s">
        <v>7</v>
      </c>
      <c r="B22" s="3" t="s">
        <v>20</v>
      </c>
      <c r="C22" s="3" t="s">
        <v>9</v>
      </c>
      <c r="D22" s="3" t="s">
        <v>21</v>
      </c>
      <c r="E22" s="3" t="s">
        <v>22</v>
      </c>
      <c r="F22" s="3" t="s">
        <v>23</v>
      </c>
      <c r="G22" s="12"/>
    </row>
    <row r="23" spans="2:7" s="2" customFormat="1" ht="12.75">
      <c r="B23" s="4" t="s">
        <v>24</v>
      </c>
      <c r="C23" s="4" t="s">
        <v>24</v>
      </c>
      <c r="D23" s="4" t="s">
        <v>25</v>
      </c>
      <c r="E23" s="4" t="s">
        <v>26</v>
      </c>
      <c r="F23" s="4" t="s">
        <v>24</v>
      </c>
      <c r="G23" s="12"/>
    </row>
    <row r="24" spans="1:7" s="2" customFormat="1" ht="12.75">
      <c r="A24" s="2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2"/>
    </row>
    <row r="25" spans="1:7" s="2" customFormat="1" ht="12.75">
      <c r="A25" s="2" t="s">
        <v>30</v>
      </c>
      <c r="B25" s="7">
        <v>38.82</v>
      </c>
      <c r="C25" s="7">
        <v>3.44</v>
      </c>
      <c r="D25" s="7">
        <v>0.59</v>
      </c>
      <c r="E25" s="7">
        <f>24*(0.66+0.13)</f>
        <v>18.96</v>
      </c>
      <c r="F25" s="7">
        <v>1.57</v>
      </c>
      <c r="G25" s="12"/>
    </row>
    <row r="26" spans="2:7" s="2" customFormat="1" ht="12.75">
      <c r="B26" s="12"/>
      <c r="C26" s="5"/>
      <c r="D26" s="12"/>
      <c r="E26" s="12"/>
      <c r="F26" s="12"/>
      <c r="G26" s="12"/>
    </row>
    <row r="27" spans="1:7" ht="12.75">
      <c r="A27" s="8" t="s">
        <v>14</v>
      </c>
      <c r="B27" s="11"/>
      <c r="C27" s="13"/>
      <c r="D27" s="11"/>
      <c r="E27" s="11"/>
      <c r="F27" s="11"/>
      <c r="G27" s="11"/>
    </row>
    <row r="28" spans="1:7" ht="12.75">
      <c r="A28" s="8" t="s">
        <v>27</v>
      </c>
      <c r="B28" s="11"/>
      <c r="C28" s="13"/>
      <c r="D28" s="11"/>
      <c r="E28" s="11"/>
      <c r="F28" s="11"/>
      <c r="G28" s="11"/>
    </row>
    <row r="29" ht="12.75">
      <c r="A29" s="8" t="s">
        <v>28</v>
      </c>
    </row>
    <row r="32" spans="1:11" s="2" customFormat="1" ht="12.75">
      <c r="A32" s="9"/>
      <c r="B32" s="9"/>
      <c r="C32" s="9"/>
      <c r="D32" s="9"/>
      <c r="E32" s="9"/>
      <c r="F32" s="9"/>
      <c r="G32" s="9"/>
      <c r="H32" s="1" t="s">
        <v>4</v>
      </c>
      <c r="I32" s="3" t="s">
        <v>5</v>
      </c>
      <c r="J32" s="3" t="s">
        <v>6</v>
      </c>
      <c r="K32" s="3" t="s">
        <v>67</v>
      </c>
    </row>
    <row r="33" spans="2:11" s="2" customFormat="1" ht="12.75">
      <c r="B33" s="3" t="s">
        <v>32</v>
      </c>
      <c r="C33" s="3" t="s">
        <v>33</v>
      </c>
      <c r="D33" s="3" t="s">
        <v>45</v>
      </c>
      <c r="E33" s="3" t="s">
        <v>35</v>
      </c>
      <c r="F33" s="3" t="s">
        <v>37</v>
      </c>
      <c r="G33" s="3" t="s">
        <v>38</v>
      </c>
      <c r="H33" s="3" t="s">
        <v>11</v>
      </c>
      <c r="I33" s="3" t="s">
        <v>12</v>
      </c>
      <c r="J33" s="3" t="s">
        <v>12</v>
      </c>
      <c r="K33" s="3" t="s">
        <v>12</v>
      </c>
    </row>
    <row r="34" spans="1:11" s="2" customFormat="1" ht="12.75">
      <c r="A34" s="3" t="s">
        <v>7</v>
      </c>
      <c r="B34" s="4" t="s">
        <v>43</v>
      </c>
      <c r="C34" s="4" t="s">
        <v>44</v>
      </c>
      <c r="D34" s="4"/>
      <c r="E34" s="4" t="s">
        <v>36</v>
      </c>
      <c r="F34" s="4" t="s">
        <v>36</v>
      </c>
      <c r="G34" s="4" t="s">
        <v>36</v>
      </c>
      <c r="H34" s="4" t="s">
        <v>36</v>
      </c>
      <c r="I34" s="4" t="s">
        <v>36</v>
      </c>
      <c r="J34" s="4" t="s">
        <v>36</v>
      </c>
      <c r="K34" s="4" t="s">
        <v>36</v>
      </c>
    </row>
    <row r="35" spans="1:11" s="2" customFormat="1" ht="12.75">
      <c r="A35" s="2" t="s">
        <v>29</v>
      </c>
      <c r="B35" s="14">
        <f>-'Activity Levels'!B40</f>
        <v>-328.7671232876712</v>
      </c>
      <c r="C35" s="4" t="s">
        <v>34</v>
      </c>
      <c r="D35" s="4" t="s">
        <v>34</v>
      </c>
      <c r="E35" s="14">
        <f aca="true" t="shared" si="0" ref="E35:J35">$B35*B11/453.6</f>
        <v>-3.5949844169022245</v>
      </c>
      <c r="F35" s="14">
        <f t="shared" si="0"/>
        <v>-2.957164601000217</v>
      </c>
      <c r="G35" s="14">
        <f t="shared" si="0"/>
        <v>-18.15612089584692</v>
      </c>
      <c r="H35" s="14">
        <f t="shared" si="0"/>
        <v>-0.22468652605638903</v>
      </c>
      <c r="I35" s="14">
        <f t="shared" si="0"/>
        <v>-0.021743857360295712</v>
      </c>
      <c r="J35" s="14">
        <f t="shared" si="0"/>
        <v>-0.007247952453431905</v>
      </c>
      <c r="K35" s="15">
        <f>SUM(H35:J35)</f>
        <v>-0.2536783358701167</v>
      </c>
    </row>
    <row r="36" spans="1:11" s="2" customFormat="1" ht="12.75">
      <c r="A36" s="2" t="s">
        <v>30</v>
      </c>
      <c r="B36" s="14">
        <f>'Activity Levels'!B37</f>
        <v>1823.7155189059863</v>
      </c>
      <c r="C36" s="14">
        <f>'Activity Levels'!B38</f>
        <v>443</v>
      </c>
      <c r="D36" s="14">
        <f>'Activity Levels'!B39</f>
        <v>221.5</v>
      </c>
      <c r="E36" s="14">
        <f>(B36*B12+C36*B25)/453.6</f>
        <v>56.80935392164491</v>
      </c>
      <c r="F36" s="14">
        <f>(B36*C12+C36*C25+C36*D25+D36*E25)/453.6</f>
        <v>14.665806613579344</v>
      </c>
      <c r="G36" s="14">
        <f>(B36*D12+C36*F25)/453.6</f>
        <v>3.583785085189711</v>
      </c>
      <c r="H36" s="14">
        <f>B36*E12/453.6</f>
        <v>0</v>
      </c>
      <c r="I36" s="14">
        <f>B36*F12/453.6</f>
        <v>0.040205368582583466</v>
      </c>
      <c r="J36" s="14">
        <f>B36*G12/453.6</f>
        <v>0.040205368582583466</v>
      </c>
      <c r="K36" s="15">
        <f>SUM(H36:J36)</f>
        <v>0.08041073716516693</v>
      </c>
    </row>
    <row r="37" spans="1:11" s="2" customFormat="1" ht="12.75">
      <c r="A37" s="1" t="s">
        <v>39</v>
      </c>
      <c r="B37" s="4"/>
      <c r="C37" s="4"/>
      <c r="D37" s="4"/>
      <c r="E37" s="16">
        <f aca="true" t="shared" si="1" ref="E37:J37">E35+E36</f>
        <v>53.21436950474269</v>
      </c>
      <c r="F37" s="16">
        <f t="shared" si="1"/>
        <v>11.708642012579126</v>
      </c>
      <c r="G37" s="16">
        <f t="shared" si="1"/>
        <v>-14.572335810657211</v>
      </c>
      <c r="H37" s="16">
        <f t="shared" si="1"/>
        <v>-0.22468652605638903</v>
      </c>
      <c r="I37" s="16">
        <f t="shared" si="1"/>
        <v>0.018461511222287754</v>
      </c>
      <c r="J37" s="16">
        <f t="shared" si="1"/>
        <v>0.03295741612915156</v>
      </c>
      <c r="K37" s="17">
        <f>SUM(H37:J37)</f>
        <v>-0.1732675987049497</v>
      </c>
    </row>
    <row r="39" ht="12.75">
      <c r="A39" s="8"/>
    </row>
  </sheetData>
  <sheetProtection/>
  <printOptions/>
  <pageMargins left="0.75" right="0.75" top="0.75" bottom="0.75" header="0.5" footer="0.5"/>
  <pageSetup orientation="landscape" r:id="rId1"/>
  <headerFooter alignWithMargins="0">
    <oddFooter>&amp;L&amp;F, &amp;A&amp;CPage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7.33203125" style="9" customWidth="1"/>
    <col min="2" max="2" width="9.33203125" style="9" customWidth="1"/>
    <col min="3" max="3" width="12.5" style="9" customWidth="1"/>
    <col min="4" max="4" width="11.33203125" style="9" customWidth="1"/>
    <col min="5" max="5" width="11.16015625" style="9" customWidth="1"/>
    <col min="6" max="6" width="11" style="9" customWidth="1"/>
    <col min="7" max="7" width="9.33203125" style="9" customWidth="1"/>
    <col min="8" max="8" width="18.5" style="9" customWidth="1"/>
    <col min="9" max="9" width="16.16015625" style="9" customWidth="1"/>
    <col min="10" max="10" width="13" style="9" customWidth="1"/>
    <col min="11" max="16384" width="9.33203125" style="9" customWidth="1"/>
  </cols>
  <sheetData>
    <row r="1" s="2" customFormat="1" ht="46.5" customHeight="1">
      <c r="A1" s="1" t="s">
        <v>69</v>
      </c>
    </row>
    <row r="2" spans="1:10" s="2" customFormat="1" ht="26.25">
      <c r="A2" s="18" t="s">
        <v>70</v>
      </c>
      <c r="B2" s="18" t="s">
        <v>71</v>
      </c>
      <c r="C2" s="18" t="s">
        <v>72</v>
      </c>
      <c r="D2" s="18" t="s">
        <v>73</v>
      </c>
      <c r="E2" s="18" t="s">
        <v>74</v>
      </c>
      <c r="F2" s="18" t="s">
        <v>75</v>
      </c>
      <c r="G2" s="18"/>
      <c r="H2" s="18" t="s">
        <v>76</v>
      </c>
      <c r="I2" s="18" t="s">
        <v>77</v>
      </c>
      <c r="J2" s="18" t="s">
        <v>78</v>
      </c>
    </row>
    <row r="3" spans="1:10" s="2" customFormat="1" ht="12.75">
      <c r="A3" s="2" t="s">
        <v>79</v>
      </c>
      <c r="B3" s="4">
        <v>26</v>
      </c>
      <c r="C3" s="14">
        <v>14003366</v>
      </c>
      <c r="D3" s="14">
        <v>4652281</v>
      </c>
      <c r="E3" s="14">
        <v>1122779</v>
      </c>
      <c r="F3" s="19">
        <v>1874684</v>
      </c>
      <c r="G3" s="4"/>
      <c r="H3" s="14">
        <f aca="true" t="shared" si="0" ref="H3:H12">C3/B3</f>
        <v>538591</v>
      </c>
      <c r="I3" s="14">
        <f aca="true" t="shared" si="1" ref="I3:I12">D3/B3</f>
        <v>178933.88461538462</v>
      </c>
      <c r="J3" s="19">
        <f>F3/B3</f>
        <v>72103.23076923077</v>
      </c>
    </row>
    <row r="4" spans="1:10" s="2" customFormat="1" ht="12.75">
      <c r="A4" s="2" t="s">
        <v>80</v>
      </c>
      <c r="B4" s="4">
        <v>115</v>
      </c>
      <c r="C4" s="14">
        <v>90768409</v>
      </c>
      <c r="D4" s="14">
        <v>8398621</v>
      </c>
      <c r="E4" s="14">
        <v>7520760</v>
      </c>
      <c r="F4" s="19">
        <v>4877111</v>
      </c>
      <c r="G4" s="4"/>
      <c r="H4" s="14">
        <f t="shared" si="0"/>
        <v>789290.5130434782</v>
      </c>
      <c r="I4" s="14">
        <f t="shared" si="1"/>
        <v>73031.48695652174</v>
      </c>
      <c r="J4" s="19">
        <f aca="true" t="shared" si="2" ref="J4:J12">F4/B4</f>
        <v>42409.66086956522</v>
      </c>
    </row>
    <row r="5" spans="1:10" s="2" customFormat="1" ht="12.75">
      <c r="A5" s="2" t="s">
        <v>81</v>
      </c>
      <c r="B5" s="4">
        <v>112</v>
      </c>
      <c r="C5" s="14">
        <v>37220114</v>
      </c>
      <c r="D5" s="14">
        <v>5449549</v>
      </c>
      <c r="E5" s="14">
        <v>3425331</v>
      </c>
      <c r="F5" s="19">
        <v>2610611</v>
      </c>
      <c r="G5" s="4"/>
      <c r="H5" s="14">
        <f t="shared" si="0"/>
        <v>332322.4464285714</v>
      </c>
      <c r="I5" s="14">
        <f t="shared" si="1"/>
        <v>48656.6875</v>
      </c>
      <c r="J5" s="19">
        <f t="shared" si="2"/>
        <v>23309.026785714286</v>
      </c>
    </row>
    <row r="6" spans="1:10" s="2" customFormat="1" ht="12.75">
      <c r="A6" s="2" t="s">
        <v>82</v>
      </c>
      <c r="B6" s="4">
        <v>46</v>
      </c>
      <c r="C6" s="14">
        <v>21446538</v>
      </c>
      <c r="D6" s="14">
        <v>5233874</v>
      </c>
      <c r="E6" s="14">
        <v>1573195</v>
      </c>
      <c r="F6" s="19">
        <v>2070701</v>
      </c>
      <c r="G6" s="4"/>
      <c r="H6" s="14">
        <f t="shared" si="0"/>
        <v>466229.0869565217</v>
      </c>
      <c r="I6" s="14">
        <f t="shared" si="1"/>
        <v>113779.86956521739</v>
      </c>
      <c r="J6" s="19">
        <f t="shared" si="2"/>
        <v>45015.239130434784</v>
      </c>
    </row>
    <row r="7" spans="1:10" s="2" customFormat="1" ht="12.75">
      <c r="A7" s="2" t="s">
        <v>83</v>
      </c>
      <c r="B7" s="4">
        <v>172</v>
      </c>
      <c r="C7" s="14">
        <v>63914854</v>
      </c>
      <c r="D7" s="14">
        <v>25538709</v>
      </c>
      <c r="E7" s="14">
        <v>7075927</v>
      </c>
      <c r="F7" s="19">
        <v>11911197</v>
      </c>
      <c r="G7" s="4"/>
      <c r="H7" s="14">
        <f t="shared" si="0"/>
        <v>371597.988372093</v>
      </c>
      <c r="I7" s="14">
        <f t="shared" si="1"/>
        <v>148480.86627906977</v>
      </c>
      <c r="J7" s="19">
        <f t="shared" si="2"/>
        <v>69251.1453488372</v>
      </c>
    </row>
    <row r="8" spans="1:10" s="2" customFormat="1" ht="12.75">
      <c r="A8" s="2" t="s">
        <v>84</v>
      </c>
      <c r="B8" s="4">
        <v>202</v>
      </c>
      <c r="C8" s="14">
        <v>26067694</v>
      </c>
      <c r="D8" s="14">
        <v>8039122</v>
      </c>
      <c r="E8" s="14">
        <v>5608702</v>
      </c>
      <c r="F8" s="19">
        <v>3786675</v>
      </c>
      <c r="G8" s="4"/>
      <c r="H8" s="14">
        <f>C8/B8</f>
        <v>129047.9900990099</v>
      </c>
      <c r="I8" s="14">
        <f>D8/B8</f>
        <v>39797.63366336634</v>
      </c>
      <c r="J8" s="19">
        <f>F8/B8</f>
        <v>18745.91584158416</v>
      </c>
    </row>
    <row r="9" spans="1:10" s="2" customFormat="1" ht="12.75">
      <c r="A9" s="2" t="s">
        <v>85</v>
      </c>
      <c r="B9" s="4">
        <v>38</v>
      </c>
      <c r="C9" s="14">
        <v>16461257</v>
      </c>
      <c r="D9" s="14">
        <v>6806140</v>
      </c>
      <c r="E9" s="14">
        <v>1558098</v>
      </c>
      <c r="F9" s="19">
        <v>3232457</v>
      </c>
      <c r="G9" s="4"/>
      <c r="H9" s="14">
        <f t="shared" si="0"/>
        <v>433190.9736842105</v>
      </c>
      <c r="I9" s="14">
        <f t="shared" si="1"/>
        <v>179108.94736842104</v>
      </c>
      <c r="J9" s="19">
        <f t="shared" si="2"/>
        <v>85064.65789473684</v>
      </c>
    </row>
    <row r="10" spans="1:10" s="2" customFormat="1" ht="12.75">
      <c r="A10" s="2" t="s">
        <v>86</v>
      </c>
      <c r="B10" s="4">
        <v>18</v>
      </c>
      <c r="C10" s="14">
        <v>5822688</v>
      </c>
      <c r="D10" s="14">
        <v>1311761</v>
      </c>
      <c r="E10" s="14">
        <v>841905</v>
      </c>
      <c r="F10" s="19">
        <v>526040</v>
      </c>
      <c r="G10" s="4"/>
      <c r="H10" s="14">
        <f t="shared" si="0"/>
        <v>323482.6666666667</v>
      </c>
      <c r="I10" s="14">
        <f t="shared" si="1"/>
        <v>72875.61111111111</v>
      </c>
      <c r="J10" s="19">
        <f t="shared" si="2"/>
        <v>29224.444444444445</v>
      </c>
    </row>
    <row r="11" spans="1:10" s="2" customFormat="1" ht="12.75">
      <c r="A11" s="2" t="s">
        <v>87</v>
      </c>
      <c r="B11" s="4">
        <v>106</v>
      </c>
      <c r="C11" s="14">
        <v>39877278</v>
      </c>
      <c r="D11" s="14">
        <v>6845862</v>
      </c>
      <c r="E11" s="14">
        <v>5204515</v>
      </c>
      <c r="F11" s="19">
        <v>3700373</v>
      </c>
      <c r="G11" s="4"/>
      <c r="H11" s="14">
        <f t="shared" si="0"/>
        <v>376200.7358490566</v>
      </c>
      <c r="I11" s="14">
        <f t="shared" si="1"/>
        <v>64583.6037735849</v>
      </c>
      <c r="J11" s="19">
        <f t="shared" si="2"/>
        <v>34909.17924528302</v>
      </c>
    </row>
    <row r="12" spans="1:10" s="2" customFormat="1" ht="12.75">
      <c r="A12" s="2" t="s">
        <v>88</v>
      </c>
      <c r="B12" s="4">
        <v>135</v>
      </c>
      <c r="C12" s="14">
        <v>60227599</v>
      </c>
      <c r="D12" s="14">
        <v>20815273</v>
      </c>
      <c r="E12" s="14">
        <v>4046898</v>
      </c>
      <c r="F12" s="19">
        <v>7432130</v>
      </c>
      <c r="G12" s="4"/>
      <c r="H12" s="14">
        <f t="shared" si="0"/>
        <v>446130.36296296294</v>
      </c>
      <c r="I12" s="14">
        <f t="shared" si="1"/>
        <v>154187.2074074074</v>
      </c>
      <c r="J12" s="19">
        <f t="shared" si="2"/>
        <v>55052.81481481482</v>
      </c>
    </row>
    <row r="13" spans="1:10" s="2" customFormat="1" ht="12.75">
      <c r="A13" s="2" t="s">
        <v>89</v>
      </c>
      <c r="B13" s="4">
        <v>52</v>
      </c>
      <c r="C13" s="14">
        <v>16860102</v>
      </c>
      <c r="D13" s="14">
        <v>2188060</v>
      </c>
      <c r="E13" s="14">
        <v>2406873</v>
      </c>
      <c r="F13" s="19">
        <v>1145940</v>
      </c>
      <c r="G13" s="4"/>
      <c r="H13" s="14">
        <f>C13/B13</f>
        <v>324232.73076923075</v>
      </c>
      <c r="I13" s="14">
        <f>D13/B13</f>
        <v>42078.07692307692</v>
      </c>
      <c r="J13" s="19">
        <f>F13/B13</f>
        <v>22037.30769230769</v>
      </c>
    </row>
    <row r="14" spans="2:10" s="2" customFormat="1" ht="12.75">
      <c r="B14" s="4"/>
      <c r="C14" s="4"/>
      <c r="D14" s="4"/>
      <c r="E14" s="4"/>
      <c r="F14" s="4"/>
      <c r="G14" s="4"/>
      <c r="H14" s="4"/>
      <c r="I14" s="4"/>
      <c r="J14" s="4"/>
    </row>
    <row r="15" spans="1:10" s="2" customFormat="1" ht="12.75">
      <c r="A15" s="1" t="s">
        <v>90</v>
      </c>
      <c r="B15" s="3">
        <f>SUM(B3:B13)</f>
        <v>1022</v>
      </c>
      <c r="C15" s="16">
        <f>SUM(C3:C13)</f>
        <v>392669899</v>
      </c>
      <c r="D15" s="16">
        <f>SUM(D3:D13)</f>
        <v>95279252</v>
      </c>
      <c r="E15" s="16">
        <f>SUM(E3:E13)</f>
        <v>40384983</v>
      </c>
      <c r="F15" s="20">
        <f>SUM(F3:F13)</f>
        <v>43167919</v>
      </c>
      <c r="G15" s="3"/>
      <c r="H15" s="16">
        <f>C15/B15</f>
        <v>384217.1223091977</v>
      </c>
      <c r="I15" s="16">
        <f>D15/B15</f>
        <v>93228.23091976516</v>
      </c>
      <c r="J15" s="20">
        <f>F15/B15</f>
        <v>42238.668297455966</v>
      </c>
    </row>
    <row r="16" spans="2:10" s="2" customFormat="1" ht="12.75">
      <c r="B16" s="4"/>
      <c r="C16" s="4"/>
      <c r="D16" s="4"/>
      <c r="E16" s="4"/>
      <c r="F16" s="4"/>
      <c r="G16" s="4"/>
      <c r="H16" s="4"/>
      <c r="I16" s="4"/>
      <c r="J16" s="4"/>
    </row>
    <row r="17" spans="1:10" s="2" customFormat="1" ht="12.75">
      <c r="A17" s="1" t="s">
        <v>91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s="2" customFormat="1" ht="12.75">
      <c r="A18" s="2" t="s">
        <v>92</v>
      </c>
      <c r="B18" s="4">
        <v>16</v>
      </c>
      <c r="C18" s="14">
        <v>530314</v>
      </c>
      <c r="D18" s="14">
        <v>140043</v>
      </c>
      <c r="E18" s="14">
        <v>331679</v>
      </c>
      <c r="F18" s="19">
        <v>85261</v>
      </c>
      <c r="G18" s="4"/>
      <c r="H18" s="14">
        <f>C18/B18</f>
        <v>33144.625</v>
      </c>
      <c r="I18" s="14">
        <f>D18/B18</f>
        <v>8752.6875</v>
      </c>
      <c r="J18" s="19">
        <f>F18/B18</f>
        <v>5328.8125</v>
      </c>
    </row>
    <row r="19" spans="1:10" s="2" customFormat="1" ht="12.75">
      <c r="A19" s="2" t="s">
        <v>93</v>
      </c>
      <c r="B19" s="4">
        <v>9</v>
      </c>
      <c r="C19" s="14">
        <v>4433981</v>
      </c>
      <c r="D19" s="14">
        <v>1091905</v>
      </c>
      <c r="E19" s="14">
        <v>301106</v>
      </c>
      <c r="F19" s="19">
        <v>0</v>
      </c>
      <c r="G19" s="4"/>
      <c r="H19" s="14">
        <f>C19/B19</f>
        <v>492664.55555555556</v>
      </c>
      <c r="I19" s="14">
        <f>D19/B19</f>
        <v>121322.77777777778</v>
      </c>
      <c r="J19" s="19">
        <f>F19/B19</f>
        <v>0</v>
      </c>
    </row>
    <row r="20" spans="1:10" s="2" customFormat="1" ht="12.75">
      <c r="A20" s="2" t="s">
        <v>94</v>
      </c>
      <c r="B20" s="4">
        <v>17</v>
      </c>
      <c r="C20" s="14">
        <v>510315</v>
      </c>
      <c r="D20" s="14">
        <v>141998</v>
      </c>
      <c r="E20" s="14">
        <v>510315</v>
      </c>
      <c r="F20" s="19">
        <v>87472</v>
      </c>
      <c r="G20" s="4"/>
      <c r="H20" s="14">
        <f>C20/B20</f>
        <v>30018.529411764706</v>
      </c>
      <c r="I20" s="14">
        <f>D20/B20</f>
        <v>8352.823529411764</v>
      </c>
      <c r="J20" s="19">
        <f>F20/B20</f>
        <v>5145.411764705882</v>
      </c>
    </row>
    <row r="22" ht="12.75">
      <c r="A22" s="8" t="s">
        <v>95</v>
      </c>
    </row>
  </sheetData>
  <sheetProtection/>
  <printOptions/>
  <pageMargins left="0.25" right="0.25" top="1" bottom="1" header="0.5" footer="0.5"/>
  <pageSetup horizontalDpi="600" verticalDpi="600" orientation="landscape" r:id="rId1"/>
  <headerFooter alignWithMargins="0">
    <oddFooter>&amp;L&amp;F&amp;A&amp;CPage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Heisler</dc:creator>
  <cp:keywords/>
  <dc:description/>
  <cp:lastModifiedBy>dsasaki</cp:lastModifiedBy>
  <cp:lastPrinted>2000-03-05T22:18:02Z</cp:lastPrinted>
  <dcterms:created xsi:type="dcterms:W3CDTF">2000-01-03T23:00:53Z</dcterms:created>
  <dcterms:modified xsi:type="dcterms:W3CDTF">2014-08-06T15:34:17Z</dcterms:modified>
  <cp:category/>
  <cp:version/>
  <cp:contentType/>
  <cp:contentStatus/>
</cp:coreProperties>
</file>