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0"/>
  </bookViews>
  <sheets>
    <sheet name="Criteria Pollu. Emissions" sheetId="1" r:id="rId1"/>
    <sheet name="Toxic Emissions" sheetId="2" r:id="rId2"/>
    <sheet name="EF Criteria " sheetId="3" r:id="rId3"/>
    <sheet name="Air Toxics EF" sheetId="4" r:id="rId4"/>
  </sheets>
  <externalReferences>
    <externalReference r:id="rId7"/>
  </externalReferences>
  <definedNames>
    <definedName name="_xlnm.Print_Area" localSheetId="1">'Toxic Emissions'!$A$1:$G$85</definedName>
  </definedNames>
  <calcPr fullCalcOnLoad="1"/>
</workbook>
</file>

<file path=xl/sharedStrings.xml><?xml version="1.0" encoding="utf-8"?>
<sst xmlns="http://schemas.openxmlformats.org/spreadsheetml/2006/main" count="500" uniqueCount="252">
  <si>
    <t>Maximum Firing Rate = 47,300 kW X 8250 Btu/kW-hr</t>
  </si>
  <si>
    <t>MFR</t>
  </si>
  <si>
    <t>Size</t>
  </si>
  <si>
    <t>Factor</t>
  </si>
  <si>
    <t>LHV</t>
  </si>
  <si>
    <t>HHV</t>
  </si>
  <si>
    <t>(Btu/hr)</t>
  </si>
  <si>
    <t>(kW)</t>
  </si>
  <si>
    <t>(Btu/kW-hr)</t>
  </si>
  <si>
    <t>(Btu/scf)</t>
  </si>
  <si>
    <t>Pollutant</t>
  </si>
  <si>
    <t>EL</t>
  </si>
  <si>
    <t>CO</t>
  </si>
  <si>
    <t>EF</t>
  </si>
  <si>
    <t>(lb/MMscf)</t>
  </si>
  <si>
    <t>(lb/MMBtu)</t>
  </si>
  <si>
    <r>
      <t>NH</t>
    </r>
    <r>
      <rPr>
        <vertAlign val="subscript"/>
        <sz val="10"/>
        <rFont val="Arial"/>
        <family val="2"/>
      </rPr>
      <t>3</t>
    </r>
  </si>
  <si>
    <r>
      <t>VOC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</si>
  <si>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2.  The heating input required is 8250 Btu/kW-hr (LHV), LM6000 GTG specifications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</si>
  <si>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t>(Natural Gas Use by the Combustion Turbines)</t>
  </si>
  <si>
    <t>(ppmv)</t>
  </si>
  <si>
    <r>
      <t>VOC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</si>
  <si>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Emission</t>
  </si>
  <si>
    <t>Sulfur</t>
  </si>
  <si>
    <t>(wt%)</t>
  </si>
  <si>
    <t>NA</t>
  </si>
  <si>
    <t>Convert Emission Limit (EL) in lb/MMBtu to Emission Factor in lb/MMscf, EF = EL x HHV (Btu/scf)</t>
  </si>
  <si>
    <t>0.94S</t>
  </si>
  <si>
    <t>Device ID Number:</t>
  </si>
  <si>
    <t>Process Description:</t>
  </si>
  <si>
    <t/>
  </si>
  <si>
    <t>No. of Devices:</t>
  </si>
  <si>
    <t>Process Equipment Description:</t>
  </si>
  <si>
    <t>Fuel Type:</t>
  </si>
  <si>
    <t>Natural Gas</t>
  </si>
  <si>
    <t>Process Units:</t>
  </si>
  <si>
    <t>Control Equipment:</t>
  </si>
  <si>
    <t>Yearly Emis. Est. Equation: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</si>
  <si>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</si>
  <si>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>Max Hourly Emis. Est. Equation:</t>
  </si>
  <si>
    <r>
      <t>F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</si>
  <si>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 xml:space="preserve">Parameter Symbols/Names </t>
  </si>
  <si>
    <t>Values</t>
  </si>
  <si>
    <t>lbs/MMCF</t>
  </si>
  <si>
    <t>Process Operation Schedule</t>
  </si>
  <si>
    <t xml:space="preserve">Species Name </t>
  </si>
  <si>
    <t>Emissions</t>
  </si>
  <si>
    <t>NOx</t>
  </si>
  <si>
    <t>Criteria</t>
  </si>
  <si>
    <t>VOC</t>
  </si>
  <si>
    <t>GE LM6000, Sprint 47.3 MW</t>
  </si>
  <si>
    <t>See below</t>
  </si>
  <si>
    <t>EF = Emission Factor</t>
  </si>
  <si>
    <t>PM10</t>
  </si>
  <si>
    <r>
      <t>SO</t>
    </r>
    <r>
      <rPr>
        <b/>
        <vertAlign val="sub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</si>
  <si>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 Total Yearly Amount of Fuel Burned (one CT)</t>
    </r>
  </si>
  <si>
    <t>WT% S</t>
  </si>
  <si>
    <t>MW of S</t>
  </si>
  <si>
    <r>
      <t>SO</t>
    </r>
    <r>
      <rPr>
        <vertAlign val="subscript"/>
        <sz val="10"/>
        <rFont val="Arial"/>
        <family val="2"/>
      </rPr>
      <t xml:space="preserve">2  </t>
    </r>
    <r>
      <rPr>
        <vertAlign val="superscript"/>
        <sz val="10"/>
        <rFont val="Arial"/>
        <family val="2"/>
      </rPr>
      <t>(5)</t>
    </r>
  </si>
  <si>
    <t>Sulfur in Natural Gas (S)</t>
  </si>
  <si>
    <r>
      <t>WT% S = 100 x S in ppmv in natural gas x MW of S /(MW of Natural Gas x 10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 xml:space="preserve">) </t>
    </r>
  </si>
  <si>
    <t>(lb/lb-mole)</t>
  </si>
  <si>
    <t>Conc.</t>
  </si>
  <si>
    <t>(DSCF/MMBtu)</t>
  </si>
  <si>
    <t>Oxygen</t>
  </si>
  <si>
    <t>(%)</t>
  </si>
  <si>
    <t>Exhaust Vol</t>
  </si>
  <si>
    <t>MW</t>
  </si>
  <si>
    <t>Calculate Maximum Firing Rate (MFR) for the CT in Btu/hr</t>
  </si>
  <si>
    <t>Natural Gas Use by the Combustion Turbine</t>
  </si>
  <si>
    <t>1,000,000 x 379</t>
  </si>
  <si>
    <r>
      <t>MW of Natural Gas</t>
    </r>
    <r>
      <rPr>
        <b/>
        <vertAlign val="superscript"/>
        <sz val="10"/>
        <rFont val="Arial"/>
        <family val="2"/>
      </rPr>
      <t xml:space="preserve"> (2)</t>
    </r>
  </si>
  <si>
    <t>Calculate Molecular Weight of Natural Gas</t>
  </si>
  <si>
    <t>Compound</t>
  </si>
  <si>
    <t>Weighted MW</t>
  </si>
  <si>
    <t>methane</t>
  </si>
  <si>
    <t>ethane</t>
  </si>
  <si>
    <t>propane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</si>
  <si>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</si>
  <si>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</si>
  <si>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Exhaust Volume (DSCF/MMBtu) = 8710 DSCF/MMBtu x 20.9/(20.9 -%O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 </t>
    </r>
    <r>
      <rPr>
        <b/>
        <vertAlign val="superscript"/>
        <sz val="10"/>
        <rFont val="Arial"/>
        <family val="2"/>
      </rPr>
      <t>(7)</t>
    </r>
  </si>
  <si>
    <t>Fuel</t>
  </si>
  <si>
    <t>(1)  Specification provided by LA DWP from Request for Proposal dated September 25, 2000 and</t>
  </si>
  <si>
    <t>(7) EPA Method 19, 40 CFR Part 60.</t>
  </si>
  <si>
    <r>
      <t>1.  The new combustion turbines (CTs) are GE LM6000 Sprint 47.3 MW (47,300 kW) turbine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</si>
  <si>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t>DWP HARBOR STATION -- CRITERIA POLLUTANT EMISSIONS</t>
  </si>
  <si>
    <t>(grams/sec)</t>
  </si>
  <si>
    <r>
      <t>Convert Emission Limits (EL) from ppmv to lb/MMBtu for NOx, CO, VOC, and 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(controlled operations).</t>
    </r>
  </si>
  <si>
    <t>(8) Emission Factor in lb/MMBtu is from AP-42, Table 3.1-1 and Table 3.1-2a.</t>
  </si>
  <si>
    <t>There are five CTs at this facility.</t>
  </si>
  <si>
    <t>Emissions are presented for one CT.</t>
  </si>
  <si>
    <t>water-steam injection for controlled operation.</t>
  </si>
  <si>
    <t>FOR COMBUSTION TURBINES AT THE HARBOR PLANT</t>
  </si>
  <si>
    <t>EMISSION FACTORS</t>
  </si>
  <si>
    <t>Fuel Consumption during test</t>
  </si>
  <si>
    <t>Time</t>
  </si>
  <si>
    <t>(lbs/MMBtu)</t>
  </si>
  <si>
    <t xml:space="preserve">      S &amp; S Energy Products' Specifications sheet.</t>
  </si>
  <si>
    <r>
      <t>Fuel Use</t>
    </r>
    <r>
      <rPr>
        <b/>
        <vertAlign val="superscript"/>
        <sz val="10"/>
        <rFont val="Arial"/>
        <family val="2"/>
      </rPr>
      <t xml:space="preserve"> (2)</t>
    </r>
  </si>
  <si>
    <r>
      <t>NOx as NO</t>
    </r>
    <r>
      <rPr>
        <vertAlign val="subscript"/>
        <sz val="10"/>
        <rFont val="Arial"/>
        <family val="2"/>
      </rPr>
      <t>2</t>
    </r>
  </si>
  <si>
    <r>
      <t xml:space="preserve">5.  The CTs will use natural gas with a HHV of 1050 Btu/scf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>.</t>
    </r>
  </si>
  <si>
    <t xml:space="preserve">6.  Emission limits are 5 ppmv for oxides of nitrogen (NOx), 6 ppmv for carbon monoxide (CO), </t>
  </si>
  <si>
    <r>
      <t>7.  Emission limits are assumed to be at 15%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</si>
  <si>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 xml:space="preserve">HHV </t>
  </si>
  <si>
    <t>Maximum Hourly Fuel Consumption Rate (MMscf) = MFR/(LHV x 1,000,000)</t>
  </si>
  <si>
    <t xml:space="preserve">Maximum Hourly Fuel Consumption Rate (MMscf/hr) = </t>
  </si>
  <si>
    <t>MMscf/hr</t>
  </si>
  <si>
    <t>(MMscf)</t>
  </si>
  <si>
    <t>Convert  Emission Factors from lbs/MMBtu to lbs/MMscf</t>
  </si>
  <si>
    <t>(lbs/MMscf)</t>
  </si>
  <si>
    <r>
      <t>Emission Factors for PM10 and Sulfur Dioxide 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 all times</t>
    </r>
  </si>
  <si>
    <t>Remainder</t>
  </si>
  <si>
    <t xml:space="preserve">      AP-42 Combustion Turbine Emission Factor Development Document, Table 3.4-1.</t>
  </si>
  <si>
    <t xml:space="preserve">    PM10 and Sulfur Dioxide emission factor is from AP-42, Table 3.1-2a.</t>
  </si>
  <si>
    <r>
      <t xml:space="preserve">     2 ppmv for volatile organic compounds (VOC), and 5 ppmv for ammonia (NH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for controlled operations.</t>
    </r>
  </si>
  <si>
    <t>(3) Specifications from LA DWP (Generation - 2000 Project Overview)</t>
  </si>
  <si>
    <t>(4)  SCR Bid specification (no. 9628) from LA DWP.  Natural gas LHV calculated to be 953 Btu/scf.</t>
  </si>
  <si>
    <t>(5) Taken from AP-42, Section 3.1.  Emission factors are all load emission factors</t>
  </si>
  <si>
    <t>(6) Taken from SCAQMD Title V Technical Guidance Manual, page A-20, 1998.</t>
  </si>
  <si>
    <r>
      <t xml:space="preserve">EF </t>
    </r>
    <r>
      <rPr>
        <b/>
        <vertAlign val="superscript"/>
        <sz val="10"/>
        <rFont val="Arial"/>
        <family val="2"/>
      </rPr>
      <t>(5)</t>
    </r>
  </si>
  <si>
    <r>
      <t>Mole%</t>
    </r>
    <r>
      <rPr>
        <b/>
        <vertAlign val="superscript"/>
        <sz val="10"/>
        <rFont val="Arial"/>
        <family val="2"/>
      </rPr>
      <t xml:space="preserve">  (4)</t>
    </r>
  </si>
  <si>
    <r>
      <t xml:space="preserve">EL (lbs/MMBtu) = </t>
    </r>
    <r>
      <rPr>
        <b/>
        <u val="single"/>
        <sz val="10"/>
        <rFont val="Arial"/>
        <family val="2"/>
      </rPr>
      <t xml:space="preserve">Exhaust Volume x Concentration x MW of Pollutant </t>
    </r>
    <r>
      <rPr>
        <b/>
        <u val="single"/>
        <vertAlign val="superscript"/>
        <sz val="10"/>
        <rFont val="Arial"/>
        <family val="2"/>
      </rPr>
      <t>(6)</t>
    </r>
  </si>
  <si>
    <r>
      <t>PM10</t>
    </r>
    <r>
      <rPr>
        <vertAlign val="superscript"/>
        <sz val="10"/>
        <rFont val="Arial"/>
        <family val="2"/>
      </rPr>
      <t xml:space="preserve"> (5)</t>
    </r>
  </si>
  <si>
    <r>
      <t xml:space="preserve">Max.S in ppmv </t>
    </r>
    <r>
      <rPr>
        <b/>
        <vertAlign val="superscript"/>
        <sz val="10"/>
        <rFont val="Arial"/>
        <family val="2"/>
      </rPr>
      <t>(4)</t>
    </r>
  </si>
  <si>
    <t xml:space="preserve">Selective Catalytic Reduction, CO Catalyst, and  </t>
  </si>
  <si>
    <t>DEVELOPMENT OF COMMISSIONING EMISSION FACTORS</t>
  </si>
  <si>
    <t>(hours)</t>
  </si>
  <si>
    <t>hour at no control</t>
  </si>
  <si>
    <t>hours with water inection</t>
  </si>
  <si>
    <t>(lbs)</t>
  </si>
  <si>
    <t>COMMISSIONING SCENARIO</t>
  </si>
  <si>
    <t>EF (lbs/MMscf) = EF (lbs/MMBtu) x HHV (Btu/scf)</t>
  </si>
  <si>
    <r>
      <t xml:space="preserve">3.  The CTs will reach full power in 24 hours. </t>
    </r>
    <r>
      <rPr>
        <vertAlign val="superscript"/>
        <sz val="10"/>
        <rFont val="Arial"/>
        <family val="2"/>
      </rPr>
      <t>(2)</t>
    </r>
  </si>
  <si>
    <t>0 to 10</t>
  </si>
  <si>
    <t>(MMBtu)</t>
  </si>
  <si>
    <t>11 to 60</t>
  </si>
  <si>
    <t>F1 = Fuel with no control, 0 to 10 hours.</t>
  </si>
  <si>
    <t>MMSCF</t>
  </si>
  <si>
    <t>F2 = Fuel with water injection, 11 to 60 hours.</t>
  </si>
  <si>
    <t>F3 = Fuel with total control, 61 to 84 hours</t>
  </si>
  <si>
    <t>61 to 84</t>
  </si>
  <si>
    <t>ZERO TO TEN HOURS</t>
  </si>
  <si>
    <t>ELEVEN TO SIXTY HOURS</t>
  </si>
  <si>
    <t xml:space="preserve">     VOC emission factor based on manufacterer data since its value is higher than AP-42 uncontrolled factor.</t>
  </si>
  <si>
    <t>0 to 10 hours</t>
  </si>
  <si>
    <t>11 to 60 hours</t>
  </si>
  <si>
    <t>Hr. 0 to 10</t>
  </si>
  <si>
    <t>Hr.11 to 60</t>
  </si>
  <si>
    <t>Hr. 61 to 84</t>
  </si>
  <si>
    <t>Hour 0 to 10</t>
  </si>
  <si>
    <t>Hour 11 -60</t>
  </si>
  <si>
    <t>Hour 61 to 84</t>
  </si>
  <si>
    <t xml:space="preserve">Stack Gas Flow Rate, ACF = </t>
  </si>
  <si>
    <t>Stack Gas Flow (SCF) x</t>
  </si>
  <si>
    <r>
      <t>[Stack Gas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</si>
  <si>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[Standard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</si>
  <si>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o</t>
    </r>
    <r>
      <rPr>
        <b/>
        <sz val="10"/>
        <rFont val="Arial"/>
        <family val="2"/>
      </rPr>
      <t xml:space="preserve">R =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 + 460</t>
    </r>
  </si>
  <si>
    <r>
      <t xml:space="preserve">Standard Temp = 60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</t>
    </r>
  </si>
  <si>
    <t>Unit</t>
  </si>
  <si>
    <t>Heat Input</t>
  </si>
  <si>
    <t>Exhaust Flow</t>
  </si>
  <si>
    <t>Stack Temp.</t>
  </si>
  <si>
    <t>(WSCF/MMBtu)</t>
  </si>
  <si>
    <r>
      <t>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F)</t>
    </r>
  </si>
  <si>
    <t>(WACFS)</t>
  </si>
  <si>
    <t>Stack Exit Velocity</t>
  </si>
  <si>
    <t>Stack Inside Diameter</t>
  </si>
  <si>
    <t>Stack Height</t>
  </si>
  <si>
    <t>(FT)</t>
  </si>
  <si>
    <t>(FT/SEC)</t>
  </si>
  <si>
    <t>(M/SEC)</t>
  </si>
  <si>
    <t>(M)</t>
  </si>
  <si>
    <t>Ct#1-5, 0 - 10 hr</t>
  </si>
  <si>
    <t>Ct#1-5, 11 - 60 hr</t>
  </si>
  <si>
    <t>Ct#1-5, 61-84 hr</t>
  </si>
  <si>
    <t>(10) EPA Method 19, 40 CFR Part 60.</t>
  </si>
  <si>
    <r>
      <t>Exhaust Volume (WSCF/MMBtu) = 10,610 WSCF/MMBtu x 20.9/(20.9 -%O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 </t>
    </r>
    <r>
      <rPr>
        <b/>
        <vertAlign val="superscript"/>
        <sz val="10"/>
        <rFont val="Arial"/>
        <family val="2"/>
      </rPr>
      <t>(9)(10)</t>
    </r>
  </si>
  <si>
    <t>(2) Information provided by LA DWP in an e-mail to Krishna Nand on 11/01/00.</t>
  </si>
  <si>
    <t>(9) Taken from SCAQMD Title V Technical Guidance Manual, page A-20, 1998.  Used natural gas F factor, wet.</t>
  </si>
  <si>
    <t>(MMBtu/hr)</t>
  </si>
  <si>
    <t>(WSCFH)</t>
  </si>
  <si>
    <t>(WACFH)</t>
  </si>
  <si>
    <r>
      <t>Stack Height</t>
    </r>
    <r>
      <rPr>
        <b/>
        <vertAlign val="superscript"/>
        <sz val="10"/>
        <rFont val="Arial"/>
        <family val="2"/>
      </rPr>
      <t>(11)</t>
    </r>
  </si>
  <si>
    <r>
      <t>Stack Inside Diameter</t>
    </r>
    <r>
      <rPr>
        <b/>
        <vertAlign val="superscript"/>
        <sz val="10"/>
        <rFont val="Arial"/>
        <family val="2"/>
      </rPr>
      <t>(11)</t>
    </r>
  </si>
  <si>
    <t xml:space="preserve">(11) Information regarding stack characteristics provided by DWP in an e-mail to Krishna Nand on 10/18/00. </t>
  </si>
  <si>
    <t>CT #1-5, 0-10 hr</t>
  </si>
  <si>
    <t>CT #1-5, 11-60 hr</t>
  </si>
  <si>
    <t>CT#1-5, 61-84 hr</t>
  </si>
  <si>
    <r>
      <t>NOx (NO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)/scr</t>
    </r>
  </si>
  <si>
    <r>
      <t>NOx (NO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)/water</t>
    </r>
  </si>
  <si>
    <t xml:space="preserve">     NOx emissions for water injected based on GE guarantee of 25 ppm.</t>
  </si>
  <si>
    <t>Air Toxic</t>
  </si>
  <si>
    <t>0 to 84 hours</t>
  </si>
  <si>
    <t>CAS Number</t>
  </si>
  <si>
    <t>1,3-Butadiene</t>
  </si>
  <si>
    <t>Acetaldehyde</t>
  </si>
  <si>
    <t>Acrolein</t>
  </si>
  <si>
    <t>Ammonia</t>
  </si>
  <si>
    <t>Benz(a)anthracene (PAH)</t>
  </si>
  <si>
    <t>Benzene</t>
  </si>
  <si>
    <t>Benzo(a)pyrene (PAH)</t>
  </si>
  <si>
    <t>Benzo(b)fluoranthene (PAH)</t>
  </si>
  <si>
    <t>Benzo(k)fluoranthene (PAH)</t>
  </si>
  <si>
    <t>Chrysene (PAH)</t>
  </si>
  <si>
    <t>Dibenz(a,h)anthracene (PAH)</t>
  </si>
  <si>
    <t>Ethylbenzene</t>
  </si>
  <si>
    <t>Formaldehyde</t>
  </si>
  <si>
    <t>Hexane</t>
  </si>
  <si>
    <t>Indeno(1,2,3-cd)pyrene (PAH)</t>
  </si>
  <si>
    <t>Naphthalene (PAH)</t>
  </si>
  <si>
    <t>Propylene</t>
  </si>
  <si>
    <t>Propylene Oxide</t>
  </si>
  <si>
    <t>Toluene</t>
  </si>
  <si>
    <t>Xylene(Total)</t>
  </si>
  <si>
    <t>Hr. 0 to 84</t>
  </si>
  <si>
    <t>CARB AIR TOXICS EMISSION FACTORS</t>
  </si>
  <si>
    <t>COMBUSTION TURBINES -- NATURAL GAS</t>
  </si>
  <si>
    <t xml:space="preserve">Air Toxics Emission factors are from California Air Resources Board's latest air toxics data </t>
  </si>
  <si>
    <t xml:space="preserve">base.  These emission factors are for combustion turbines equipped with SCR and CO   </t>
  </si>
  <si>
    <t>catalysts.  The data were provided by CARB on 10/12/00 (fax from Kirk Rosenkranz to Krishna</t>
  </si>
  <si>
    <t>Nand Tel. No. 916/322-7673).</t>
  </si>
  <si>
    <t xml:space="preserve">Substance </t>
  </si>
  <si>
    <t>CAS No.</t>
  </si>
  <si>
    <t>Rule 1401</t>
  </si>
  <si>
    <t>Mean Emission</t>
  </si>
  <si>
    <t>Category</t>
  </si>
  <si>
    <t>Listed Air</t>
  </si>
  <si>
    <t>Toxic (Y/N)</t>
  </si>
  <si>
    <t>(lbs/MMSCF)</t>
  </si>
  <si>
    <t>Y</t>
  </si>
  <si>
    <t>SVOC</t>
  </si>
  <si>
    <t>2-Chloronaphthalene</t>
  </si>
  <si>
    <t>N</t>
  </si>
  <si>
    <t>2-Methylnaphthalene</t>
  </si>
  <si>
    <t>PAH</t>
  </si>
  <si>
    <t>Acenaphthene (PAH)</t>
  </si>
  <si>
    <t>Acenaphthylene (PAH)</t>
  </si>
  <si>
    <t>Anthracene (PAH)</t>
  </si>
  <si>
    <t>Benzo(e)pyrene (PAH)</t>
  </si>
  <si>
    <t>Benzo(g,h,i)perylene (PAH)</t>
  </si>
  <si>
    <t>Fluoranthene (PAH)</t>
  </si>
  <si>
    <t>Fluorene (PAH)</t>
  </si>
  <si>
    <t>Perylene</t>
  </si>
  <si>
    <t>Phenanthrene (PAH)</t>
  </si>
  <si>
    <t>Pyrene (PAH)</t>
  </si>
  <si>
    <t>1.  Controlled and Uncontrolled Air Toxics Emission Factor are identical.</t>
  </si>
  <si>
    <r>
      <t xml:space="preserve">Factor </t>
    </r>
    <r>
      <rPr>
        <b/>
        <vertAlign val="superscript"/>
        <sz val="10"/>
        <rFont val="Arial"/>
        <family val="2"/>
      </rPr>
      <t>(1)</t>
    </r>
  </si>
  <si>
    <t>DWP HARBOR STATION --AIR TOXIC POLLUTANT EMISSIONS</t>
  </si>
  <si>
    <t>Combustion Turbines 1 through 5</t>
  </si>
  <si>
    <r>
      <t>4.  Water injection will begin after 10 hours. SCR and CO catalyst operation will begin at 61 hours.</t>
    </r>
    <r>
      <rPr>
        <vertAlign val="superscript"/>
        <sz val="10"/>
        <rFont val="Arial"/>
        <family val="2"/>
      </rPr>
      <t>(2)</t>
    </r>
  </si>
  <si>
    <t>hours with SCR and CO Catalyst</t>
  </si>
  <si>
    <t>Hourly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</si>
</sst>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,##0.0"/>
    <numFmt numFmtId="167" formatCode="0.000"/>
    <numFmt numFmtId="168" formatCode="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double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33" borderId="13" xfId="0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7" fillId="33" borderId="16" xfId="0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>
      <alignment horizontal="centerContinuous"/>
    </xf>
    <xf numFmtId="0" fontId="8" fillId="33" borderId="17" xfId="0" applyFont="1" applyFill="1" applyBorder="1" applyAlignment="1">
      <alignment horizontal="centerContinuous"/>
    </xf>
    <xf numFmtId="0" fontId="7" fillId="33" borderId="18" xfId="0" applyFont="1" applyFill="1" applyBorder="1" applyAlignment="1" applyProtection="1">
      <alignment horizontal="centerContinuous"/>
      <protection/>
    </xf>
    <xf numFmtId="0" fontId="8" fillId="33" borderId="19" xfId="0" applyFont="1" applyFill="1" applyBorder="1" applyAlignment="1" applyProtection="1">
      <alignment horizontal="centerContinuous"/>
      <protection/>
    </xf>
    <xf numFmtId="0" fontId="8" fillId="33" borderId="1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4" borderId="13" xfId="0" applyFont="1" applyFill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16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 quotePrefix="1">
      <alignment horizontal="left"/>
      <protection/>
    </xf>
    <xf numFmtId="0" fontId="0" fillId="34" borderId="17" xfId="0" applyFill="1" applyBorder="1" applyAlignment="1">
      <alignment/>
    </xf>
    <xf numFmtId="0" fontId="2" fillId="34" borderId="18" xfId="0" applyFont="1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 applyProtection="1">
      <alignment horizontal="left"/>
      <protection/>
    </xf>
    <xf numFmtId="0" fontId="0" fillId="0" borderId="22" xfId="0" applyBorder="1" applyAlignment="1">
      <alignment horizontal="centerContinuous"/>
    </xf>
    <xf numFmtId="0" fontId="2" fillId="0" borderId="22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0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>
      <alignment/>
    </xf>
    <xf numFmtId="0" fontId="2" fillId="0" borderId="33" xfId="0" applyFont="1" applyBorder="1" applyAlignment="1" applyProtection="1">
      <alignment horizontal="center"/>
      <protection/>
    </xf>
    <xf numFmtId="11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2" fontId="2" fillId="0" borderId="34" xfId="0" applyNumberFormat="1" applyFont="1" applyBorder="1" applyAlignment="1" applyProtection="1">
      <alignment horizontal="center"/>
      <protection/>
    </xf>
    <xf numFmtId="2" fontId="2" fillId="0" borderId="35" xfId="0" applyNumberFormat="1" applyFont="1" applyBorder="1" applyAlignment="1" applyProtection="1">
      <alignment horizontal="center"/>
      <protection/>
    </xf>
    <xf numFmtId="166" fontId="0" fillId="0" borderId="0" xfId="0" applyNumberForma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left"/>
    </xf>
    <xf numFmtId="0" fontId="0" fillId="34" borderId="17" xfId="0" applyFill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4" fontId="2" fillId="0" borderId="4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4" xfId="0" applyFont="1" applyBorder="1" applyAlignment="1">
      <alignment horizontal="center"/>
    </xf>
    <xf numFmtId="2" fontId="2" fillId="0" borderId="23" xfId="0" applyNumberFormat="1" applyFont="1" applyBorder="1" applyAlignment="1" applyProtection="1">
      <alignment horizontal="center"/>
      <protection/>
    </xf>
    <xf numFmtId="2" fontId="2" fillId="0" borderId="44" xfId="0" applyNumberFormat="1" applyFont="1" applyBorder="1" applyAlignment="1" applyProtection="1">
      <alignment horizontal="center"/>
      <protection/>
    </xf>
    <xf numFmtId="2" fontId="2" fillId="0" borderId="45" xfId="0" applyNumberFormat="1" applyFont="1" applyBorder="1" applyAlignment="1" applyProtection="1">
      <alignment horizontal="center"/>
      <protection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1" borderId="39" xfId="0" applyFill="1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2" fontId="2" fillId="0" borderId="48" xfId="0" applyNumberFormat="1" applyFont="1" applyBorder="1" applyAlignment="1" applyProtection="1">
      <alignment horizontal="center"/>
      <protection/>
    </xf>
    <xf numFmtId="2" fontId="2" fillId="0" borderId="49" xfId="0" applyNumberFormat="1" applyFont="1" applyBorder="1" applyAlignment="1" applyProtection="1">
      <alignment horizontal="center"/>
      <protection/>
    </xf>
    <xf numFmtId="2" fontId="2" fillId="0" borderId="50" xfId="0" applyNumberFormat="1" applyFont="1" applyBorder="1" applyAlignment="1" applyProtection="1">
      <alignment horizontal="center"/>
      <protection/>
    </xf>
    <xf numFmtId="2" fontId="2" fillId="0" borderId="51" xfId="0" applyNumberFormat="1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166" fontId="2" fillId="0" borderId="43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1" fontId="0" fillId="0" borderId="43" xfId="0" applyNumberFormat="1" applyFont="1" applyBorder="1" applyAlignment="1" applyProtection="1">
      <alignment horizontal="center"/>
      <protection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left"/>
      <protection/>
    </xf>
    <xf numFmtId="0" fontId="0" fillId="0" borderId="35" xfId="0" applyFont="1" applyBorder="1" applyAlignment="1">
      <alignment horizontal="center"/>
    </xf>
    <xf numFmtId="11" fontId="0" fillId="0" borderId="35" xfId="0" applyNumberFormat="1" applyFont="1" applyBorder="1" applyAlignment="1" applyProtection="1">
      <alignment horizontal="center"/>
      <protection/>
    </xf>
    <xf numFmtId="11" fontId="0" fillId="0" borderId="35" xfId="0" applyNumberFormat="1" applyFont="1" applyBorder="1" applyAlignment="1">
      <alignment horizontal="center"/>
    </xf>
    <xf numFmtId="11" fontId="0" fillId="0" borderId="42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left"/>
      <protection/>
    </xf>
    <xf numFmtId="0" fontId="0" fillId="0" borderId="34" xfId="0" applyFont="1" applyBorder="1" applyAlignment="1">
      <alignment horizontal="center"/>
    </xf>
    <xf numFmtId="11" fontId="0" fillId="0" borderId="34" xfId="0" applyNumberFormat="1" applyFont="1" applyBorder="1" applyAlignment="1" applyProtection="1">
      <alignment horizontal="center"/>
      <protection/>
    </xf>
    <xf numFmtId="11" fontId="0" fillId="0" borderId="34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 horizontal="center"/>
    </xf>
    <xf numFmtId="11" fontId="0" fillId="0" borderId="34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11" fontId="0" fillId="0" borderId="33" xfId="0" applyNumberFormat="1" applyBorder="1" applyAlignment="1">
      <alignment horizontal="center"/>
    </xf>
    <xf numFmtId="11" fontId="0" fillId="0" borderId="33" xfId="0" applyNumberFormat="1" applyFont="1" applyBorder="1" applyAlignment="1" applyProtection="1">
      <alignment horizontal="center"/>
      <protection/>
    </xf>
    <xf numFmtId="11" fontId="0" fillId="0" borderId="33" xfId="0" applyNumberFormat="1" applyFont="1" applyBorder="1" applyAlignment="1">
      <alignment horizontal="center"/>
    </xf>
    <xf numFmtId="11" fontId="0" fillId="0" borderId="41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23" xfId="0" applyFont="1" applyBorder="1" applyAlignment="1">
      <alignment horizontal="center"/>
    </xf>
    <xf numFmtId="0" fontId="0" fillId="0" borderId="56" xfId="0" applyFont="1" applyBorder="1" applyAlignment="1" applyProtection="1">
      <alignment horizontal="left"/>
      <protection/>
    </xf>
    <xf numFmtId="0" fontId="0" fillId="0" borderId="45" xfId="0" applyFont="1" applyBorder="1" applyAlignment="1">
      <alignment horizontal="center"/>
    </xf>
    <xf numFmtId="11" fontId="0" fillId="0" borderId="35" xfId="0" applyNumberFormat="1" applyBorder="1" applyAlignment="1">
      <alignment horizontal="center"/>
    </xf>
    <xf numFmtId="11" fontId="0" fillId="0" borderId="45" xfId="0" applyNumberFormat="1" applyFont="1" applyBorder="1" applyAlignment="1" applyProtection="1">
      <alignment horizontal="center"/>
      <protection/>
    </xf>
    <xf numFmtId="11" fontId="0" fillId="0" borderId="57" xfId="0" applyNumberFormat="1" applyFont="1" applyBorder="1" applyAlignment="1" applyProtection="1">
      <alignment horizontal="center"/>
      <protection/>
    </xf>
    <xf numFmtId="0" fontId="0" fillId="1" borderId="16" xfId="0" applyFill="1" applyBorder="1" applyAlignment="1">
      <alignment/>
    </xf>
    <xf numFmtId="0" fontId="0" fillId="1" borderId="0" xfId="0" applyFill="1" applyBorder="1" applyAlignment="1">
      <alignment/>
    </xf>
    <xf numFmtId="0" fontId="0" fillId="1" borderId="17" xfId="0" applyFill="1" applyBorder="1" applyAlignment="1">
      <alignment/>
    </xf>
    <xf numFmtId="0" fontId="0" fillId="1" borderId="58" xfId="0" applyFill="1" applyBorder="1" applyAlignment="1">
      <alignment/>
    </xf>
    <xf numFmtId="0" fontId="0" fillId="1" borderId="59" xfId="0" applyFill="1" applyBorder="1" applyAlignment="1">
      <alignment/>
    </xf>
    <xf numFmtId="0" fontId="0" fillId="1" borderId="60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0" borderId="64" xfId="0" applyBorder="1" applyAlignment="1">
      <alignment/>
    </xf>
    <xf numFmtId="0" fontId="0" fillId="0" borderId="44" xfId="0" applyBorder="1" applyAlignment="1">
      <alignment/>
    </xf>
    <xf numFmtId="0" fontId="0" fillId="0" borderId="65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34" xfId="0" applyBorder="1" applyAlignment="1">
      <alignment/>
    </xf>
    <xf numFmtId="11" fontId="0" fillId="0" borderId="34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 quotePrefix="1">
      <alignment horizontal="center"/>
    </xf>
    <xf numFmtId="168" fontId="2" fillId="0" borderId="0" xfId="0" applyNumberFormat="1" applyFont="1" applyAlignment="1">
      <alignment horizontal="center"/>
    </xf>
    <xf numFmtId="0" fontId="7" fillId="1" borderId="66" xfId="0" applyFont="1" applyFill="1" applyBorder="1" applyAlignment="1">
      <alignment horizontal="center"/>
    </xf>
    <xf numFmtId="0" fontId="7" fillId="1" borderId="67" xfId="0" applyFont="1" applyFill="1" applyBorder="1" applyAlignment="1">
      <alignment horizontal="center"/>
    </xf>
    <xf numFmtId="0" fontId="7" fillId="1" borderId="6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1" borderId="10" xfId="0" applyFont="1" applyFill="1" applyBorder="1" applyAlignment="1">
      <alignment horizontal="center"/>
    </xf>
    <xf numFmtId="0" fontId="7" fillId="1" borderId="0" xfId="0" applyFont="1" applyFill="1" applyBorder="1" applyAlignment="1">
      <alignment horizontal="center"/>
    </xf>
    <xf numFmtId="0" fontId="7" fillId="1" borderId="38" xfId="0" applyFont="1" applyFill="1" applyBorder="1" applyAlignment="1">
      <alignment horizontal="center"/>
    </xf>
    <xf numFmtId="0" fontId="7" fillId="1" borderId="13" xfId="0" applyFont="1" applyFill="1" applyBorder="1" applyAlignment="1">
      <alignment horizontal="center"/>
    </xf>
    <xf numFmtId="0" fontId="7" fillId="1" borderId="14" xfId="0" applyFont="1" applyFill="1" applyBorder="1" applyAlignment="1">
      <alignment horizontal="center"/>
    </xf>
    <xf numFmtId="0" fontId="7" fillId="1" borderId="15" xfId="0" applyFont="1" applyFill="1" applyBorder="1" applyAlignment="1">
      <alignment horizontal="center"/>
    </xf>
    <xf numFmtId="0" fontId="7" fillId="1" borderId="16" xfId="0" applyFont="1" applyFill="1" applyBorder="1" applyAlignment="1">
      <alignment horizontal="center"/>
    </xf>
    <xf numFmtId="0" fontId="7" fillId="1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0</xdr:rowOff>
    </xdr:from>
    <xdr:to>
      <xdr:col>7</xdr:col>
      <xdr:colOff>0</xdr:colOff>
      <xdr:row>43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6800850"/>
          <a:ext cx="741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7</xdr:col>
      <xdr:colOff>0</xdr:colOff>
      <xdr:row>43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8575" y="6800850"/>
          <a:ext cx="741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0" y="6800850"/>
          <a:ext cx="6657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58</xdr:row>
      <xdr:rowOff>0</xdr:rowOff>
    </xdr:from>
    <xdr:to>
      <xdr:col>7</xdr:col>
      <xdr:colOff>0</xdr:colOff>
      <xdr:row>58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9229725"/>
          <a:ext cx="741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0</xdr:rowOff>
    </xdr:from>
    <xdr:to>
      <xdr:col>7</xdr:col>
      <xdr:colOff>0</xdr:colOff>
      <xdr:row>58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8575" y="9229725"/>
          <a:ext cx="7410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6</xdr:col>
      <xdr:colOff>0</xdr:colOff>
      <xdr:row>58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0" y="9229725"/>
          <a:ext cx="6657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152</xdr:row>
      <xdr:rowOff>0</xdr:rowOff>
    </xdr:from>
    <xdr:to>
      <xdr:col>7</xdr:col>
      <xdr:colOff>0</xdr:colOff>
      <xdr:row>152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26460450"/>
          <a:ext cx="6638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Reports/R1350%20(DWP%20Repowering)/valley/VCOM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a Pollu. Emissions"/>
      <sheetName val="Toxic Emissions"/>
      <sheetName val="EF Criteria "/>
      <sheetName val="Air Toxics EF"/>
    </sheetNames>
    <sheetDataSet>
      <sheetData sheetId="2">
        <row r="37">
          <cell r="B37">
            <v>1.2</v>
          </cell>
        </row>
        <row r="38">
          <cell r="B38">
            <v>12.7</v>
          </cell>
        </row>
        <row r="39">
          <cell r="B39">
            <v>9.36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75" zoomScaleNormal="75" zoomScalePageLayoutView="0" workbookViewId="0" topLeftCell="A35">
      <selection activeCell="D55" sqref="D55"/>
    </sheetView>
  </sheetViews>
  <sheetFormatPr defaultColWidth="9.140625" defaultRowHeight="12.75"/>
  <cols>
    <col min="1" max="1" width="29.7109375" style="72" customWidth="1"/>
    <col min="2" max="2" width="14.57421875" style="0" customWidth="1"/>
    <col min="3" max="3" width="15.140625" style="0" customWidth="1"/>
    <col min="4" max="4" width="12.7109375" style="0" customWidth="1"/>
    <col min="5" max="5" width="14.28125" style="0" customWidth="1"/>
    <col min="6" max="6" width="13.421875" style="0" customWidth="1"/>
    <col min="7" max="7" width="11.7109375" style="1" bestFit="1" customWidth="1"/>
  </cols>
  <sheetData>
    <row r="1" spans="1:6" ht="7.5" customHeight="1" thickTop="1">
      <c r="A1" s="18"/>
      <c r="B1" s="19"/>
      <c r="C1" s="19"/>
      <c r="D1" s="20"/>
      <c r="E1" s="20"/>
      <c r="F1" s="21"/>
    </row>
    <row r="2" spans="1:6" ht="17.25">
      <c r="A2" s="22" t="s">
        <v>85</v>
      </c>
      <c r="B2" s="23"/>
      <c r="C2" s="23"/>
      <c r="D2" s="24"/>
      <c r="E2" s="24"/>
      <c r="F2" s="25"/>
    </row>
    <row r="3" spans="1:6" ht="17.25">
      <c r="A3" s="22" t="s">
        <v>130</v>
      </c>
      <c r="B3" s="23"/>
      <c r="C3" s="23"/>
      <c r="D3" s="24"/>
      <c r="E3" s="24"/>
      <c r="F3" s="25"/>
    </row>
    <row r="4" spans="1:6" ht="17.25" customHeight="1" thickBot="1">
      <c r="A4" s="26" t="s">
        <v>69</v>
      </c>
      <c r="B4" s="27"/>
      <c r="C4" s="27"/>
      <c r="D4" s="28"/>
      <c r="E4" s="28"/>
      <c r="F4" s="29"/>
    </row>
    <row r="5" spans="1:6" ht="7.5" customHeight="1" thickTop="1">
      <c r="A5" s="30"/>
      <c r="B5" s="31"/>
      <c r="C5" s="31"/>
      <c r="D5" s="32"/>
      <c r="E5" s="32"/>
      <c r="F5" s="33"/>
    </row>
    <row r="6" spans="1:6" ht="12.75">
      <c r="A6" s="34" t="s">
        <v>28</v>
      </c>
      <c r="B6" s="35" t="s">
        <v>248</v>
      </c>
      <c r="C6" s="35"/>
      <c r="D6" s="36"/>
      <c r="E6" s="36"/>
      <c r="F6" s="39"/>
    </row>
    <row r="7" spans="1:6" ht="12.75" hidden="1">
      <c r="A7" s="34" t="s">
        <v>29</v>
      </c>
      <c r="B7" s="38" t="s">
        <v>30</v>
      </c>
      <c r="C7" s="38"/>
      <c r="D7" s="37"/>
      <c r="E7" s="37"/>
      <c r="F7" s="95"/>
    </row>
    <row r="8" spans="1:6" ht="12.75">
      <c r="A8" s="34" t="s">
        <v>31</v>
      </c>
      <c r="B8" s="35" t="s">
        <v>90</v>
      </c>
      <c r="C8" s="35"/>
      <c r="D8" s="37"/>
      <c r="E8" s="37"/>
      <c r="F8" s="39"/>
    </row>
    <row r="9" spans="1:6" ht="12.75">
      <c r="A9" s="34"/>
      <c r="B9" s="35" t="s">
        <v>89</v>
      </c>
      <c r="C9" s="35"/>
      <c r="D9" s="37"/>
      <c r="E9" s="37"/>
      <c r="F9" s="39"/>
    </row>
    <row r="10" spans="1:6" ht="12.75">
      <c r="A10" s="34" t="s">
        <v>32</v>
      </c>
      <c r="B10" s="37" t="s">
        <v>50</v>
      </c>
      <c r="C10" s="37"/>
      <c r="D10" s="37"/>
      <c r="E10" s="37"/>
      <c r="F10" s="39"/>
    </row>
    <row r="11" spans="1:6" ht="12.75">
      <c r="A11" s="34" t="s">
        <v>33</v>
      </c>
      <c r="B11" s="35" t="s">
        <v>34</v>
      </c>
      <c r="C11" s="35"/>
      <c r="D11" s="37"/>
      <c r="E11" s="37"/>
      <c r="F11" s="39"/>
    </row>
    <row r="12" spans="1:6" ht="12.75">
      <c r="A12" s="34" t="s">
        <v>35</v>
      </c>
      <c r="B12" s="35" t="s">
        <v>137</v>
      </c>
      <c r="C12" s="35"/>
      <c r="D12" s="36"/>
      <c r="E12" s="36"/>
      <c r="F12" s="39"/>
    </row>
    <row r="13" spans="1:6" ht="7.5" customHeight="1" thickBot="1">
      <c r="A13" s="40"/>
      <c r="B13" s="41"/>
      <c r="C13" s="41"/>
      <c r="D13" s="42"/>
      <c r="E13" s="42"/>
      <c r="F13" s="43"/>
    </row>
    <row r="14" spans="1:6" ht="7.5" customHeight="1" thickTop="1">
      <c r="A14" s="44"/>
      <c r="B14" s="45"/>
      <c r="C14" s="45"/>
      <c r="D14" s="45"/>
      <c r="E14" s="45"/>
      <c r="F14" s="46"/>
    </row>
    <row r="15" spans="1:6" ht="12.75">
      <c r="A15" s="47" t="s">
        <v>36</v>
      </c>
      <c r="B15" s="4" t="s">
        <v>124</v>
      </c>
      <c r="C15" s="4"/>
      <c r="D15" s="4"/>
      <c r="E15" s="4"/>
      <c r="F15" s="48"/>
    </row>
    <row r="16" spans="1:6" ht="12.75">
      <c r="A16" s="47"/>
      <c r="B16" s="4" t="s">
        <v>91</v>
      </c>
      <c r="C16" s="4"/>
      <c r="D16" s="4"/>
      <c r="E16" s="4"/>
      <c r="F16" s="48"/>
    </row>
    <row r="17" spans="1:6" ht="15">
      <c r="A17" s="47"/>
      <c r="B17" s="100"/>
      <c r="C17" s="4"/>
      <c r="D17" s="4"/>
      <c r="E17" s="4"/>
      <c r="F17" s="48"/>
    </row>
    <row r="18" spans="1:6" ht="15">
      <c r="A18" s="47" t="s">
        <v>37</v>
      </c>
      <c r="B18" s="4" t="s">
        <v>38</v>
      </c>
      <c r="C18" s="4"/>
      <c r="D18" s="4"/>
      <c r="E18" s="4"/>
      <c r="F18" s="48"/>
    </row>
    <row r="19" spans="1:6" ht="15">
      <c r="A19" s="47" t="s">
        <v>39</v>
      </c>
      <c r="B19" s="4" t="s">
        <v>40</v>
      </c>
      <c r="C19" s="4"/>
      <c r="D19" s="4"/>
      <c r="E19" s="4"/>
      <c r="F19" s="48"/>
    </row>
    <row r="20" spans="1:6" ht="7.5" customHeight="1" thickBot="1">
      <c r="A20" s="49"/>
      <c r="B20" s="50"/>
      <c r="C20" s="50"/>
      <c r="D20" s="50"/>
      <c r="E20" s="50"/>
      <c r="F20" s="51"/>
    </row>
    <row r="21" spans="1:6" ht="18" customHeight="1" thickBot="1" thickTop="1">
      <c r="A21" s="52" t="s">
        <v>41</v>
      </c>
      <c r="B21" s="53"/>
      <c r="C21" s="53"/>
      <c r="D21" s="54" t="s">
        <v>42</v>
      </c>
      <c r="E21" s="54"/>
      <c r="F21" s="96"/>
    </row>
    <row r="22" spans="1:6" ht="7.5" customHeight="1" thickTop="1">
      <c r="A22" s="44"/>
      <c r="B22" s="45"/>
      <c r="C22" s="45"/>
      <c r="D22" s="45"/>
      <c r="E22" s="45"/>
      <c r="F22" s="46"/>
    </row>
    <row r="23" spans="1:6" ht="15">
      <c r="A23" s="47" t="s">
        <v>55</v>
      </c>
      <c r="B23" s="4"/>
      <c r="C23" s="4"/>
      <c r="D23" s="75" t="s">
        <v>25</v>
      </c>
      <c r="E23" s="4" t="s">
        <v>137</v>
      </c>
      <c r="F23" s="48"/>
    </row>
    <row r="24" spans="1:6" ht="12.75">
      <c r="A24" s="47" t="s">
        <v>136</v>
      </c>
      <c r="B24" s="4"/>
      <c r="C24" s="4"/>
      <c r="D24" s="83">
        <f>'EF Criteria '!B38</f>
        <v>1.2</v>
      </c>
      <c r="E24" s="4" t="s">
        <v>137</v>
      </c>
      <c r="F24" s="48"/>
    </row>
    <row r="25" spans="1:6" ht="12.75">
      <c r="A25" s="47" t="s">
        <v>138</v>
      </c>
      <c r="B25" s="4"/>
      <c r="C25" s="4"/>
      <c r="D25" s="83">
        <f>'EF Criteria '!B39</f>
        <v>12.7</v>
      </c>
      <c r="E25" s="4" t="s">
        <v>137</v>
      </c>
      <c r="F25" s="48"/>
    </row>
    <row r="26" spans="1:6" ht="12.75">
      <c r="A26" s="47" t="s">
        <v>139</v>
      </c>
      <c r="B26" s="4"/>
      <c r="C26" s="4"/>
      <c r="D26" s="83">
        <f>'EF Criteria '!B40</f>
        <v>9.36</v>
      </c>
      <c r="E26" s="4" t="s">
        <v>137</v>
      </c>
      <c r="F26" s="48"/>
    </row>
    <row r="27" spans="1:6" ht="12.75">
      <c r="A27" s="47" t="s">
        <v>52</v>
      </c>
      <c r="B27" s="4"/>
      <c r="C27" s="4"/>
      <c r="D27" s="55" t="s">
        <v>51</v>
      </c>
      <c r="E27" s="4" t="s">
        <v>43</v>
      </c>
      <c r="F27" s="48"/>
    </row>
    <row r="28" spans="1:6" ht="12.75">
      <c r="A28" s="47"/>
      <c r="B28" s="4"/>
      <c r="C28" s="4"/>
      <c r="D28" s="55"/>
      <c r="E28" s="55"/>
      <c r="F28" s="48"/>
    </row>
    <row r="29" spans="1:6" ht="12.75">
      <c r="A29" s="47" t="s">
        <v>44</v>
      </c>
      <c r="B29" s="4">
        <v>10</v>
      </c>
      <c r="C29" s="4" t="s">
        <v>127</v>
      </c>
      <c r="D29" s="94"/>
      <c r="E29" s="94"/>
      <c r="F29" s="48"/>
    </row>
    <row r="30" spans="1:6" ht="12.75">
      <c r="A30" s="56"/>
      <c r="B30" s="4">
        <v>50</v>
      </c>
      <c r="C30" s="4" t="s">
        <v>128</v>
      </c>
      <c r="D30" s="94"/>
      <c r="E30" s="94"/>
      <c r="F30" s="48"/>
    </row>
    <row r="31" spans="1:6" ht="12.75">
      <c r="A31" s="56"/>
      <c r="B31" s="4">
        <v>24</v>
      </c>
      <c r="C31" s="4" t="s">
        <v>250</v>
      </c>
      <c r="D31" s="57"/>
      <c r="E31" s="57"/>
      <c r="F31" s="58"/>
    </row>
    <row r="32" spans="1:6" ht="9.75" customHeight="1" thickBot="1">
      <c r="A32" s="49"/>
      <c r="B32" s="50"/>
      <c r="C32" s="50"/>
      <c r="D32" s="50"/>
      <c r="E32" s="50"/>
      <c r="F32" s="51"/>
    </row>
    <row r="33" spans="1:6" ht="13.5" customHeight="1" thickTop="1">
      <c r="A33" s="56"/>
      <c r="B33" s="59" t="s">
        <v>144</v>
      </c>
      <c r="C33" s="59" t="s">
        <v>145</v>
      </c>
      <c r="D33" s="59" t="s">
        <v>111</v>
      </c>
      <c r="E33" s="12" t="s">
        <v>78</v>
      </c>
      <c r="F33" s="120" t="s">
        <v>78</v>
      </c>
    </row>
    <row r="34" spans="1:7" ht="12.75">
      <c r="A34" s="101" t="s">
        <v>48</v>
      </c>
      <c r="B34" s="61" t="s">
        <v>22</v>
      </c>
      <c r="C34" s="61" t="s">
        <v>22</v>
      </c>
      <c r="D34" s="62" t="s">
        <v>22</v>
      </c>
      <c r="E34" s="112" t="s">
        <v>146</v>
      </c>
      <c r="F34" s="76" t="s">
        <v>147</v>
      </c>
      <c r="G34"/>
    </row>
    <row r="35" spans="1:7" ht="12.75">
      <c r="A35" s="60" t="s">
        <v>45</v>
      </c>
      <c r="B35" s="61" t="s">
        <v>3</v>
      </c>
      <c r="C35" s="61" t="s">
        <v>3</v>
      </c>
      <c r="D35" s="62" t="s">
        <v>3</v>
      </c>
      <c r="E35" s="112" t="s">
        <v>46</v>
      </c>
      <c r="F35" s="76" t="s">
        <v>46</v>
      </c>
      <c r="G35"/>
    </row>
    <row r="36" spans="1:7" ht="13.5" thickBot="1">
      <c r="A36" s="63"/>
      <c r="B36" s="64" t="s">
        <v>14</v>
      </c>
      <c r="C36" s="64" t="s">
        <v>14</v>
      </c>
      <c r="D36" s="65" t="s">
        <v>109</v>
      </c>
      <c r="E36" s="113" t="s">
        <v>129</v>
      </c>
      <c r="F36" s="77" t="s">
        <v>129</v>
      </c>
      <c r="G36"/>
    </row>
    <row r="37" spans="1:7" ht="13.5" thickTop="1">
      <c r="A37" s="66" t="s">
        <v>47</v>
      </c>
      <c r="B37" s="74">
        <f>'EF Criteria '!E53</f>
        <v>309.75</v>
      </c>
      <c r="C37" s="74">
        <f>'EF Criteria '!E61</f>
        <v>98.28</v>
      </c>
      <c r="D37" s="102">
        <f>'EF Criteria '!E98</f>
        <v>19.64</v>
      </c>
      <c r="E37" s="114">
        <f>$D$24*B37</f>
        <v>371.7</v>
      </c>
      <c r="F37" s="123">
        <f>ROUND($D$25*C37,0)</f>
        <v>1248</v>
      </c>
      <c r="G37"/>
    </row>
    <row r="38" spans="1:7" ht="12.75">
      <c r="A38" s="67" t="s">
        <v>12</v>
      </c>
      <c r="B38" s="73">
        <f>'EF Criteria '!E54</f>
        <v>185.85</v>
      </c>
      <c r="C38" s="73">
        <f>'EF Criteria '!E62</f>
        <v>35.07</v>
      </c>
      <c r="D38" s="103">
        <f>'EF Criteria '!E99</f>
        <v>14.39</v>
      </c>
      <c r="E38" s="115">
        <f>$D$24*B38</f>
        <v>223.01999999999998</v>
      </c>
      <c r="F38" s="124">
        <f>ROUND($D$25*C38,0)</f>
        <v>445</v>
      </c>
      <c r="G38"/>
    </row>
    <row r="39" spans="1:7" ht="12.75">
      <c r="A39" s="67" t="s">
        <v>49</v>
      </c>
      <c r="B39" s="73">
        <f>'EF Criteria '!E100</f>
        <v>2.73</v>
      </c>
      <c r="C39" s="73">
        <f>'EF Criteria '!E100</f>
        <v>2.73</v>
      </c>
      <c r="D39" s="103">
        <f>'EF Criteria '!E100</f>
        <v>2.73</v>
      </c>
      <c r="E39" s="115">
        <f>$D$24*B39</f>
        <v>3.276</v>
      </c>
      <c r="F39" s="122">
        <f>ROUND($D$25*C39,1)</f>
        <v>34.7</v>
      </c>
      <c r="G39"/>
    </row>
    <row r="40" spans="1:7" ht="12.75">
      <c r="A40" s="67" t="s">
        <v>53</v>
      </c>
      <c r="B40" s="73">
        <f>'EF Criteria '!E109</f>
        <v>6.93</v>
      </c>
      <c r="C40" s="73">
        <f>'EF Criteria '!E109</f>
        <v>6.93</v>
      </c>
      <c r="D40" s="73">
        <f>'EF Criteria '!E109</f>
        <v>6.93</v>
      </c>
      <c r="E40" s="116">
        <f>$D$24*B40</f>
        <v>8.315999999999999</v>
      </c>
      <c r="F40" s="122">
        <f>ROUND($D$25*C40,1)</f>
        <v>88</v>
      </c>
      <c r="G40"/>
    </row>
    <row r="41" spans="1:7" ht="15">
      <c r="A41" s="67" t="s">
        <v>54</v>
      </c>
      <c r="B41" s="73">
        <f>'EF Criteria '!E110</f>
        <v>1.48</v>
      </c>
      <c r="C41" s="73">
        <f>'EF Criteria '!E110</f>
        <v>1.48</v>
      </c>
      <c r="D41" s="104">
        <f>'EF Criteria '!E110</f>
        <v>1.48</v>
      </c>
      <c r="E41" s="117">
        <f>$D$24*B41</f>
        <v>1.776</v>
      </c>
      <c r="F41" s="122">
        <f>ROUND($D$25*C41,1)</f>
        <v>18.8</v>
      </c>
      <c r="G41"/>
    </row>
    <row r="42" spans="1:7" ht="13.5" thickBot="1">
      <c r="A42" s="68"/>
      <c r="B42" s="69"/>
      <c r="C42" s="69"/>
      <c r="D42" s="70"/>
      <c r="E42" s="118"/>
      <c r="F42" s="97"/>
      <c r="G42"/>
    </row>
    <row r="43" spans="1:6" ht="14.25" thickBot="1" thickTop="1">
      <c r="A43" s="4"/>
      <c r="B43" s="55"/>
      <c r="C43" s="55"/>
      <c r="D43" s="71"/>
      <c r="E43" s="71"/>
      <c r="F43" s="71"/>
    </row>
    <row r="44" spans="1:6" ht="13.5" thickTop="1">
      <c r="A44" s="44"/>
      <c r="B44" s="59" t="s">
        <v>78</v>
      </c>
      <c r="C44" s="59" t="s">
        <v>149</v>
      </c>
      <c r="D44" s="59" t="s">
        <v>150</v>
      </c>
      <c r="E44" s="119" t="s">
        <v>151</v>
      </c>
      <c r="F44" s="120"/>
    </row>
    <row r="45" spans="1:6" ht="12.75">
      <c r="A45" s="101" t="s">
        <v>48</v>
      </c>
      <c r="B45" s="61" t="s">
        <v>148</v>
      </c>
      <c r="C45" s="134" t="s">
        <v>251</v>
      </c>
      <c r="D45" s="134" t="s">
        <v>251</v>
      </c>
      <c r="E45" s="62" t="s">
        <v>251</v>
      </c>
      <c r="F45" s="192"/>
    </row>
    <row r="46" spans="1:6" ht="12.75">
      <c r="A46" s="60" t="s">
        <v>45</v>
      </c>
      <c r="B46" s="61" t="s">
        <v>46</v>
      </c>
      <c r="C46" s="134" t="s">
        <v>46</v>
      </c>
      <c r="D46" s="134" t="s">
        <v>46</v>
      </c>
      <c r="E46" s="62" t="s">
        <v>46</v>
      </c>
      <c r="F46" s="192"/>
    </row>
    <row r="47" spans="1:6" ht="13.5" thickBot="1">
      <c r="A47" s="63"/>
      <c r="B47" s="64" t="s">
        <v>129</v>
      </c>
      <c r="C47" s="64" t="s">
        <v>86</v>
      </c>
      <c r="D47" s="65" t="s">
        <v>86</v>
      </c>
      <c r="E47" s="113" t="s">
        <v>86</v>
      </c>
      <c r="F47" s="77"/>
    </row>
    <row r="48" spans="1:6" ht="13.5" thickTop="1">
      <c r="A48" s="66" t="s">
        <v>47</v>
      </c>
      <c r="B48" s="74">
        <f>$D$26*D37</f>
        <v>183.8304</v>
      </c>
      <c r="C48" s="74">
        <f>ROUND(E37*454/36000,2)</f>
        <v>4.69</v>
      </c>
      <c r="D48" s="102">
        <f>+ROUND(F37*454/(50*3600),2)</f>
        <v>3.15</v>
      </c>
      <c r="E48" s="114">
        <f>ROUND(B48*454/(24*3600),2)</f>
        <v>0.97</v>
      </c>
      <c r="F48" s="98"/>
    </row>
    <row r="49" spans="1:6" ht="12.75">
      <c r="A49" s="67" t="s">
        <v>12</v>
      </c>
      <c r="B49" s="73">
        <f>$D$26*D38</f>
        <v>134.6904</v>
      </c>
      <c r="C49" s="73">
        <f>ROUND(E38*454/36000,2)</f>
        <v>2.81</v>
      </c>
      <c r="D49" s="103">
        <f>+ROUND(F38*454/(50*3600),2)</f>
        <v>1.12</v>
      </c>
      <c r="E49" s="115">
        <f>ROUND(B49*454/(24*3600),2)</f>
        <v>0.71</v>
      </c>
      <c r="F49" s="99"/>
    </row>
    <row r="50" spans="1:6" ht="12.75">
      <c r="A50" s="67" t="s">
        <v>49</v>
      </c>
      <c r="B50" s="73">
        <f>$D$26*D39</f>
        <v>25.552799999999998</v>
      </c>
      <c r="C50" s="73">
        <f>ROUND(E39*454/36000,2)</f>
        <v>0.04</v>
      </c>
      <c r="D50" s="103">
        <f>+ROUND(F39*454/(50*3600),2)</f>
        <v>0.09</v>
      </c>
      <c r="E50" s="115">
        <f>ROUND(B50*454/(24*3600),2)</f>
        <v>0.13</v>
      </c>
      <c r="F50" s="99"/>
    </row>
    <row r="51" spans="1:6" ht="12.75">
      <c r="A51" s="67" t="s">
        <v>53</v>
      </c>
      <c r="B51" s="73">
        <f>$D$26*D40</f>
        <v>64.86479999999999</v>
      </c>
      <c r="C51" s="73">
        <f>ROUND(E40*454/36000,2)</f>
        <v>0.1</v>
      </c>
      <c r="D51" s="73">
        <f>+ROUND(F40*454/(50*3600),2)</f>
        <v>0.22</v>
      </c>
      <c r="E51" s="116">
        <f>ROUND(B51*454/(24*3600),2)</f>
        <v>0.34</v>
      </c>
      <c r="F51" s="99"/>
    </row>
    <row r="52" spans="1:6" ht="15">
      <c r="A52" s="67" t="s">
        <v>54</v>
      </c>
      <c r="B52" s="73">
        <f>$D$26*D41</f>
        <v>13.852799999999998</v>
      </c>
      <c r="C52" s="73">
        <f>ROUND(E41*454/36000,2)</f>
        <v>0.02</v>
      </c>
      <c r="D52" s="104">
        <f>+ROUND(F41*454/(50*3600),2)</f>
        <v>0.05</v>
      </c>
      <c r="E52" s="117">
        <f>ROUND(B52*454/(24*3600),2)</f>
        <v>0.07</v>
      </c>
      <c r="F52" s="99"/>
    </row>
    <row r="53" spans="1:6" ht="13.5" thickBot="1">
      <c r="A53" s="68"/>
      <c r="B53" s="69"/>
      <c r="C53" s="69"/>
      <c r="D53" s="70"/>
      <c r="E53" s="118"/>
      <c r="F53" s="97"/>
    </row>
    <row r="54" ht="13.5" thickTop="1"/>
  </sheetData>
  <sheetProtection/>
  <printOptions horizontalCentered="1"/>
  <pageMargins left="0.75" right="0.25" top="0.69" bottom="0.65" header="0.5" footer="0.29"/>
  <pageSetup fitToHeight="1" fitToWidth="1" horizontalDpi="600" verticalDpi="600" orientation="portrait" scale="87" r:id="rId2"/>
  <headerFooter alignWithMargins="0">
    <oddFooter>&amp;L&amp;6K:\REPORTS\R1350\harbor\&amp;F\&amp;A&amp;C&amp;P of &amp;N&amp;R&amp;6&amp;D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="60" zoomScaleNormal="75" zoomScalePageLayoutView="0" workbookViewId="0" topLeftCell="A44">
      <selection activeCell="D60" sqref="D60:F61"/>
    </sheetView>
  </sheetViews>
  <sheetFormatPr defaultColWidth="9.140625" defaultRowHeight="12.75"/>
  <cols>
    <col min="1" max="1" width="29.7109375" style="72" customWidth="1"/>
    <col min="2" max="2" width="14.57421875" style="0" customWidth="1"/>
    <col min="3" max="3" width="15.140625" style="0" customWidth="1"/>
    <col min="4" max="4" width="12.7109375" style="0" customWidth="1"/>
    <col min="5" max="5" width="14.28125" style="0" customWidth="1"/>
    <col min="6" max="6" width="13.421875" style="0" customWidth="1"/>
    <col min="7" max="7" width="11.7109375" style="1" bestFit="1" customWidth="1"/>
  </cols>
  <sheetData>
    <row r="1" spans="1:6" ht="7.5" customHeight="1" thickTop="1">
      <c r="A1" s="18"/>
      <c r="B1" s="19"/>
      <c r="C1" s="19"/>
      <c r="D1" s="20"/>
      <c r="E1" s="20"/>
      <c r="F1" s="21"/>
    </row>
    <row r="2" spans="1:6" ht="17.25">
      <c r="A2" s="22" t="s">
        <v>247</v>
      </c>
      <c r="B2" s="23"/>
      <c r="C2" s="23"/>
      <c r="D2" s="24"/>
      <c r="E2" s="24"/>
      <c r="F2" s="25"/>
    </row>
    <row r="3" spans="1:6" ht="17.25">
      <c r="A3" s="22" t="s">
        <v>130</v>
      </c>
      <c r="B3" s="23"/>
      <c r="C3" s="23"/>
      <c r="D3" s="24"/>
      <c r="E3" s="24"/>
      <c r="F3" s="25"/>
    </row>
    <row r="4" spans="1:6" ht="17.25" customHeight="1" thickBot="1">
      <c r="A4" s="26" t="s">
        <v>69</v>
      </c>
      <c r="B4" s="27"/>
      <c r="C4" s="27"/>
      <c r="D4" s="28"/>
      <c r="E4" s="28"/>
      <c r="F4" s="29"/>
    </row>
    <row r="5" spans="1:6" ht="7.5" customHeight="1" thickTop="1">
      <c r="A5" s="30"/>
      <c r="B5" s="31"/>
      <c r="C5" s="31"/>
      <c r="D5" s="32"/>
      <c r="E5" s="32"/>
      <c r="F5" s="33"/>
    </row>
    <row r="6" spans="1:6" ht="12.75">
      <c r="A6" s="34" t="s">
        <v>28</v>
      </c>
      <c r="B6" s="35" t="s">
        <v>248</v>
      </c>
      <c r="C6" s="35"/>
      <c r="D6" s="36"/>
      <c r="E6" s="36"/>
      <c r="F6" s="39"/>
    </row>
    <row r="7" spans="1:6" ht="12.75" hidden="1">
      <c r="A7" s="34" t="s">
        <v>29</v>
      </c>
      <c r="B7" s="38" t="s">
        <v>30</v>
      </c>
      <c r="C7" s="38"/>
      <c r="D7" s="37"/>
      <c r="E7" s="37"/>
      <c r="F7" s="95"/>
    </row>
    <row r="8" spans="1:6" ht="12.75">
      <c r="A8" s="34" t="s">
        <v>31</v>
      </c>
      <c r="B8" s="35" t="s">
        <v>90</v>
      </c>
      <c r="C8" s="35"/>
      <c r="D8" s="37"/>
      <c r="E8" s="37"/>
      <c r="F8" s="39"/>
    </row>
    <row r="9" spans="1:6" ht="12.75">
      <c r="A9" s="34"/>
      <c r="B9" s="35" t="s">
        <v>89</v>
      </c>
      <c r="C9" s="35"/>
      <c r="D9" s="37"/>
      <c r="E9" s="37"/>
      <c r="F9" s="39"/>
    </row>
    <row r="10" spans="1:6" ht="12.75">
      <c r="A10" s="34" t="s">
        <v>32</v>
      </c>
      <c r="B10" s="37" t="s">
        <v>50</v>
      </c>
      <c r="C10" s="37"/>
      <c r="D10" s="37"/>
      <c r="E10" s="37"/>
      <c r="F10" s="39"/>
    </row>
    <row r="11" spans="1:6" ht="12.75">
      <c r="A11" s="34" t="s">
        <v>33</v>
      </c>
      <c r="B11" s="35" t="s">
        <v>34</v>
      </c>
      <c r="C11" s="35"/>
      <c r="D11" s="37"/>
      <c r="E11" s="37"/>
      <c r="F11" s="39"/>
    </row>
    <row r="12" spans="1:6" ht="12.75">
      <c r="A12" s="34" t="s">
        <v>35</v>
      </c>
      <c r="B12" s="35" t="s">
        <v>137</v>
      </c>
      <c r="C12" s="35"/>
      <c r="D12" s="36"/>
      <c r="E12" s="36"/>
      <c r="F12" s="39"/>
    </row>
    <row r="13" spans="1:6" ht="7.5" customHeight="1" thickBot="1">
      <c r="A13" s="40"/>
      <c r="B13" s="41"/>
      <c r="C13" s="41"/>
      <c r="D13" s="42"/>
      <c r="E13" s="42"/>
      <c r="F13" s="43"/>
    </row>
    <row r="14" spans="1:6" ht="7.5" customHeight="1" thickTop="1">
      <c r="A14" s="44"/>
      <c r="B14" s="45"/>
      <c r="C14" s="45"/>
      <c r="D14" s="45"/>
      <c r="E14" s="45"/>
      <c r="F14" s="46"/>
    </row>
    <row r="15" spans="1:6" ht="12.75">
      <c r="A15" s="47" t="s">
        <v>36</v>
      </c>
      <c r="B15" s="4" t="s">
        <v>124</v>
      </c>
      <c r="C15" s="4"/>
      <c r="D15" s="4"/>
      <c r="E15" s="4"/>
      <c r="F15" s="48"/>
    </row>
    <row r="16" spans="1:6" ht="12.75">
      <c r="A16" s="47"/>
      <c r="B16" s="4" t="s">
        <v>91</v>
      </c>
      <c r="C16" s="4"/>
      <c r="D16" s="4"/>
      <c r="E16" s="4"/>
      <c r="F16" s="48"/>
    </row>
    <row r="17" spans="1:6" ht="15">
      <c r="A17" s="47"/>
      <c r="B17" s="100"/>
      <c r="C17" s="4"/>
      <c r="D17" s="4"/>
      <c r="E17" s="4"/>
      <c r="F17" s="48"/>
    </row>
    <row r="18" spans="1:6" ht="15">
      <c r="A18" s="47" t="s">
        <v>37</v>
      </c>
      <c r="B18" s="4" t="s">
        <v>38</v>
      </c>
      <c r="C18" s="4"/>
      <c r="D18" s="4"/>
      <c r="E18" s="4"/>
      <c r="F18" s="48"/>
    </row>
    <row r="19" spans="1:6" ht="15">
      <c r="A19" s="47" t="s">
        <v>39</v>
      </c>
      <c r="B19" s="4" t="s">
        <v>40</v>
      </c>
      <c r="C19" s="4"/>
      <c r="D19" s="4"/>
      <c r="E19" s="4"/>
      <c r="F19" s="48"/>
    </row>
    <row r="20" spans="1:6" ht="7.5" customHeight="1" thickBot="1">
      <c r="A20" s="49"/>
      <c r="B20" s="50"/>
      <c r="C20" s="50"/>
      <c r="D20" s="50"/>
      <c r="E20" s="50"/>
      <c r="F20" s="51"/>
    </row>
    <row r="21" spans="1:6" ht="18" customHeight="1" thickBot="1" thickTop="1">
      <c r="A21" s="52" t="s">
        <v>41</v>
      </c>
      <c r="B21" s="53"/>
      <c r="C21" s="53"/>
      <c r="D21" s="54" t="s">
        <v>42</v>
      </c>
      <c r="E21" s="54"/>
      <c r="F21" s="96"/>
    </row>
    <row r="22" spans="1:6" ht="7.5" customHeight="1" thickTop="1">
      <c r="A22" s="44"/>
      <c r="B22" s="45"/>
      <c r="C22" s="45"/>
      <c r="D22" s="45"/>
      <c r="E22" s="45"/>
      <c r="F22" s="46"/>
    </row>
    <row r="23" spans="1:6" ht="15">
      <c r="A23" s="47" t="s">
        <v>55</v>
      </c>
      <c r="B23" s="4"/>
      <c r="C23" s="4"/>
      <c r="D23" s="75" t="s">
        <v>25</v>
      </c>
      <c r="E23" s="4" t="s">
        <v>137</v>
      </c>
      <c r="F23" s="48"/>
    </row>
    <row r="24" spans="1:6" ht="12.75">
      <c r="A24" s="47" t="s">
        <v>136</v>
      </c>
      <c r="B24" s="4"/>
      <c r="C24" s="4"/>
      <c r="D24" s="83">
        <f>'[1]EF Criteria '!B37</f>
        <v>1.2</v>
      </c>
      <c r="E24" s="4" t="s">
        <v>137</v>
      </c>
      <c r="F24" s="48"/>
    </row>
    <row r="25" spans="1:6" ht="12.75">
      <c r="A25" s="47" t="s">
        <v>138</v>
      </c>
      <c r="B25" s="4"/>
      <c r="C25" s="4"/>
      <c r="D25" s="83">
        <f>'[1]EF Criteria '!B38</f>
        <v>12.7</v>
      </c>
      <c r="E25" s="4" t="s">
        <v>137</v>
      </c>
      <c r="F25" s="48"/>
    </row>
    <row r="26" spans="1:6" ht="12.75">
      <c r="A26" s="47" t="s">
        <v>139</v>
      </c>
      <c r="B26" s="4"/>
      <c r="C26" s="4"/>
      <c r="D26" s="83">
        <f>'[1]EF Criteria '!B39</f>
        <v>9.36</v>
      </c>
      <c r="E26" s="4" t="s">
        <v>137</v>
      </c>
      <c r="F26" s="48"/>
    </row>
    <row r="27" spans="1:6" ht="12.75">
      <c r="A27" s="47" t="s">
        <v>52</v>
      </c>
      <c r="B27" s="4"/>
      <c r="C27" s="4"/>
      <c r="D27" s="55" t="s">
        <v>51</v>
      </c>
      <c r="E27" s="4" t="s">
        <v>43</v>
      </c>
      <c r="F27" s="48"/>
    </row>
    <row r="28" spans="1:6" ht="12.75">
      <c r="A28" s="47"/>
      <c r="B28" s="4"/>
      <c r="C28" s="4"/>
      <c r="D28" s="55"/>
      <c r="E28" s="55"/>
      <c r="F28" s="48"/>
    </row>
    <row r="29" spans="1:6" ht="12.75">
      <c r="A29" s="47" t="s">
        <v>44</v>
      </c>
      <c r="B29" s="4">
        <v>10</v>
      </c>
      <c r="C29" s="4" t="s">
        <v>127</v>
      </c>
      <c r="D29" s="94"/>
      <c r="E29" s="94"/>
      <c r="F29" s="48"/>
    </row>
    <row r="30" spans="1:6" ht="12.75">
      <c r="A30" s="56"/>
      <c r="B30" s="4">
        <v>50</v>
      </c>
      <c r="C30" s="4" t="s">
        <v>128</v>
      </c>
      <c r="D30" s="94"/>
      <c r="E30" s="94"/>
      <c r="F30" s="48"/>
    </row>
    <row r="31" spans="1:6" ht="12.75">
      <c r="A31" s="56"/>
      <c r="B31" s="4">
        <v>24</v>
      </c>
      <c r="C31" s="4" t="s">
        <v>250</v>
      </c>
      <c r="D31" s="57"/>
      <c r="E31" s="57"/>
      <c r="F31" s="58"/>
    </row>
    <row r="32" spans="1:6" ht="9.75" customHeight="1" thickBot="1">
      <c r="A32" s="49"/>
      <c r="B32" s="50"/>
      <c r="C32" s="50"/>
      <c r="D32" s="50"/>
      <c r="E32" s="50"/>
      <c r="F32" s="51"/>
    </row>
    <row r="33" spans="1:6" ht="13.5" customHeight="1" thickTop="1">
      <c r="A33" s="131"/>
      <c r="B33" s="132" t="s">
        <v>191</v>
      </c>
      <c r="C33" s="59" t="s">
        <v>192</v>
      </c>
      <c r="D33" s="119" t="s">
        <v>78</v>
      </c>
      <c r="E33" s="120" t="s">
        <v>78</v>
      </c>
      <c r="F33" s="120" t="s">
        <v>78</v>
      </c>
    </row>
    <row r="34" spans="1:7" ht="12.75">
      <c r="A34" s="60" t="s">
        <v>191</v>
      </c>
      <c r="B34" s="133" t="s">
        <v>193</v>
      </c>
      <c r="C34" s="134" t="s">
        <v>22</v>
      </c>
      <c r="D34" s="62" t="s">
        <v>146</v>
      </c>
      <c r="E34" s="62" t="s">
        <v>147</v>
      </c>
      <c r="F34" s="135" t="s">
        <v>148</v>
      </c>
      <c r="G34"/>
    </row>
    <row r="35" spans="1:7" ht="15">
      <c r="A35" s="136"/>
      <c r="B35" s="137"/>
      <c r="C35" s="134" t="s">
        <v>246</v>
      </c>
      <c r="D35" s="62" t="s">
        <v>46</v>
      </c>
      <c r="E35" s="62" t="s">
        <v>46</v>
      </c>
      <c r="F35" s="135" t="s">
        <v>46</v>
      </c>
      <c r="G35"/>
    </row>
    <row r="36" spans="1:7" ht="13.5" thickBot="1">
      <c r="A36" s="63"/>
      <c r="B36" s="138"/>
      <c r="C36" s="139" t="s">
        <v>14</v>
      </c>
      <c r="D36" s="65" t="s">
        <v>129</v>
      </c>
      <c r="E36" s="65" t="s">
        <v>129</v>
      </c>
      <c r="F36" s="140" t="s">
        <v>129</v>
      </c>
      <c r="G36"/>
    </row>
    <row r="37" spans="1:7" ht="13.5" thickTop="1">
      <c r="A37" s="141" t="s">
        <v>194</v>
      </c>
      <c r="B37" s="142">
        <v>106990</v>
      </c>
      <c r="C37" s="143">
        <v>0.000127</v>
      </c>
      <c r="D37" s="143">
        <f aca="true" t="shared" si="0" ref="D37:D56">$D$24*C37</f>
        <v>0.0001524</v>
      </c>
      <c r="E37" s="144">
        <f aca="true" t="shared" si="1" ref="E37:E56">$D$25*C37</f>
        <v>0.0016128999999999998</v>
      </c>
      <c r="F37" s="145">
        <f aca="true" t="shared" si="2" ref="F37:F56">$D$26*C37</f>
        <v>0.0011887199999999999</v>
      </c>
      <c r="G37"/>
    </row>
    <row r="38" spans="1:7" ht="12.75">
      <c r="A38" s="146" t="s">
        <v>195</v>
      </c>
      <c r="B38" s="147">
        <v>75070</v>
      </c>
      <c r="C38" s="148">
        <v>0.137</v>
      </c>
      <c r="D38" s="148">
        <f t="shared" si="0"/>
        <v>0.16440000000000002</v>
      </c>
      <c r="E38" s="149">
        <f t="shared" si="1"/>
        <v>1.7399</v>
      </c>
      <c r="F38" s="130">
        <f t="shared" si="2"/>
        <v>1.2823200000000001</v>
      </c>
      <c r="G38"/>
    </row>
    <row r="39" spans="1:7" ht="12.75">
      <c r="A39" s="146" t="s">
        <v>196</v>
      </c>
      <c r="B39" s="147">
        <v>107028</v>
      </c>
      <c r="C39" s="148">
        <v>0.0189</v>
      </c>
      <c r="D39" s="148">
        <f t="shared" si="0"/>
        <v>0.02268</v>
      </c>
      <c r="E39" s="149">
        <f t="shared" si="1"/>
        <v>0.24003</v>
      </c>
      <c r="F39" s="130">
        <f t="shared" si="2"/>
        <v>0.17690399999999998</v>
      </c>
      <c r="G39"/>
    </row>
    <row r="40" spans="1:7" ht="12.75">
      <c r="A40" s="146" t="s">
        <v>197</v>
      </c>
      <c r="B40" s="147">
        <v>7664417</v>
      </c>
      <c r="C40" s="148">
        <v>7.25</v>
      </c>
      <c r="D40" s="148">
        <f t="shared" si="0"/>
        <v>8.7</v>
      </c>
      <c r="E40" s="149">
        <f t="shared" si="1"/>
        <v>92.07499999999999</v>
      </c>
      <c r="F40" s="130">
        <f t="shared" si="2"/>
        <v>67.86</v>
      </c>
      <c r="G40"/>
    </row>
    <row r="41" spans="1:7" ht="12.75">
      <c r="A41" s="146" t="s">
        <v>198</v>
      </c>
      <c r="B41" s="147">
        <v>56553</v>
      </c>
      <c r="C41" s="148">
        <v>2.26E-05</v>
      </c>
      <c r="D41" s="148">
        <f t="shared" si="0"/>
        <v>2.712E-05</v>
      </c>
      <c r="E41" s="149">
        <f t="shared" si="1"/>
        <v>0.00028701999999999997</v>
      </c>
      <c r="F41" s="130">
        <f t="shared" si="2"/>
        <v>0.000211536</v>
      </c>
      <c r="G41"/>
    </row>
    <row r="42" spans="1:7" ht="12.75">
      <c r="A42" s="146" t="s">
        <v>199</v>
      </c>
      <c r="B42" s="147">
        <v>71432</v>
      </c>
      <c r="C42" s="148">
        <v>0.0133</v>
      </c>
      <c r="D42" s="148">
        <f t="shared" si="0"/>
        <v>0.01596</v>
      </c>
      <c r="E42" s="149">
        <f t="shared" si="1"/>
        <v>0.16890999999999998</v>
      </c>
      <c r="F42" s="130">
        <f t="shared" si="2"/>
        <v>0.12448799999999999</v>
      </c>
      <c r="G42"/>
    </row>
    <row r="43" spans="1:7" ht="12.75">
      <c r="A43" s="146" t="s">
        <v>200</v>
      </c>
      <c r="B43" s="147">
        <v>50328</v>
      </c>
      <c r="C43" s="148">
        <v>1.39E-05</v>
      </c>
      <c r="D43" s="148">
        <f t="shared" si="0"/>
        <v>1.668E-05</v>
      </c>
      <c r="E43" s="149">
        <f t="shared" si="1"/>
        <v>0.00017653</v>
      </c>
      <c r="F43" s="130">
        <f t="shared" si="2"/>
        <v>0.000130104</v>
      </c>
      <c r="G43"/>
    </row>
    <row r="44" spans="1:7" ht="12.75">
      <c r="A44" s="146" t="s">
        <v>201</v>
      </c>
      <c r="B44" s="147">
        <v>205992</v>
      </c>
      <c r="C44" s="148">
        <v>1.13E-05</v>
      </c>
      <c r="D44" s="148">
        <f t="shared" si="0"/>
        <v>1.356E-05</v>
      </c>
      <c r="E44" s="149">
        <f t="shared" si="1"/>
        <v>0.00014350999999999999</v>
      </c>
      <c r="F44" s="130">
        <f t="shared" si="2"/>
        <v>0.000105768</v>
      </c>
      <c r="G44"/>
    </row>
    <row r="45" spans="1:7" ht="12.75">
      <c r="A45" s="150" t="s">
        <v>202</v>
      </c>
      <c r="B45" s="151">
        <v>207089</v>
      </c>
      <c r="C45" s="152">
        <v>1.1E-05</v>
      </c>
      <c r="D45" s="148">
        <f t="shared" si="0"/>
        <v>1.3199999999999999E-05</v>
      </c>
      <c r="E45" s="149">
        <f t="shared" si="1"/>
        <v>0.00013969999999999998</v>
      </c>
      <c r="F45" s="130">
        <f t="shared" si="2"/>
        <v>0.00010295999999999999</v>
      </c>
      <c r="G45"/>
    </row>
    <row r="46" spans="1:7" ht="12.75">
      <c r="A46" s="150" t="s">
        <v>203</v>
      </c>
      <c r="B46" s="151">
        <v>218019</v>
      </c>
      <c r="C46" s="152">
        <v>2.52E-05</v>
      </c>
      <c r="D46" s="148">
        <f t="shared" si="0"/>
        <v>3.024E-05</v>
      </c>
      <c r="E46" s="149">
        <f t="shared" si="1"/>
        <v>0.00032003999999999995</v>
      </c>
      <c r="F46" s="130">
        <f t="shared" si="2"/>
        <v>0.00023587199999999998</v>
      </c>
      <c r="G46"/>
    </row>
    <row r="47" spans="1:7" ht="12.75">
      <c r="A47" s="150" t="s">
        <v>204</v>
      </c>
      <c r="B47" s="151">
        <v>53703</v>
      </c>
      <c r="C47" s="152">
        <v>2.35E-05</v>
      </c>
      <c r="D47" s="148">
        <f t="shared" si="0"/>
        <v>2.8199999999999998E-05</v>
      </c>
      <c r="E47" s="149">
        <f t="shared" si="1"/>
        <v>0.00029844999999999996</v>
      </c>
      <c r="F47" s="130">
        <f t="shared" si="2"/>
        <v>0.00021995999999999997</v>
      </c>
      <c r="G47"/>
    </row>
    <row r="48" spans="1:7" ht="12.75">
      <c r="A48" s="150" t="s">
        <v>205</v>
      </c>
      <c r="B48" s="151">
        <v>100414</v>
      </c>
      <c r="C48" s="152">
        <v>0.0179</v>
      </c>
      <c r="D48" s="148">
        <f t="shared" si="0"/>
        <v>0.02148</v>
      </c>
      <c r="E48" s="149">
        <f t="shared" si="1"/>
        <v>0.22732999999999998</v>
      </c>
      <c r="F48" s="130">
        <f t="shared" si="2"/>
        <v>0.16754399999999997</v>
      </c>
      <c r="G48"/>
    </row>
    <row r="49" spans="1:7" ht="12.75">
      <c r="A49" s="150" t="s">
        <v>206</v>
      </c>
      <c r="B49" s="151">
        <v>50000</v>
      </c>
      <c r="C49" s="152">
        <v>0.917</v>
      </c>
      <c r="D49" s="148">
        <f t="shared" si="0"/>
        <v>1.1004</v>
      </c>
      <c r="E49" s="149">
        <f t="shared" si="1"/>
        <v>11.6459</v>
      </c>
      <c r="F49" s="130">
        <f t="shared" si="2"/>
        <v>8.58312</v>
      </c>
      <c r="G49"/>
    </row>
    <row r="50" spans="1:7" ht="12.75">
      <c r="A50" s="150" t="s">
        <v>207</v>
      </c>
      <c r="B50" s="151">
        <v>110543</v>
      </c>
      <c r="C50" s="152">
        <v>0.259</v>
      </c>
      <c r="D50" s="148">
        <f t="shared" si="0"/>
        <v>0.3108</v>
      </c>
      <c r="E50" s="149">
        <f t="shared" si="1"/>
        <v>3.2893</v>
      </c>
      <c r="F50" s="130">
        <f t="shared" si="2"/>
        <v>2.4242399999999997</v>
      </c>
      <c r="G50"/>
    </row>
    <row r="51" spans="1:7" ht="12.75">
      <c r="A51" s="150" t="s">
        <v>208</v>
      </c>
      <c r="B51" s="151">
        <v>193395</v>
      </c>
      <c r="C51" s="152">
        <v>2.35E-05</v>
      </c>
      <c r="D51" s="148">
        <f t="shared" si="0"/>
        <v>2.8199999999999998E-05</v>
      </c>
      <c r="E51" s="149">
        <f t="shared" si="1"/>
        <v>0.00029844999999999996</v>
      </c>
      <c r="F51" s="130">
        <f t="shared" si="2"/>
        <v>0.00021995999999999997</v>
      </c>
      <c r="G51"/>
    </row>
    <row r="52" spans="1:7" ht="12.75">
      <c r="A52" s="150" t="s">
        <v>209</v>
      </c>
      <c r="B52" s="151">
        <v>91203</v>
      </c>
      <c r="C52" s="152">
        <v>0.00166</v>
      </c>
      <c r="D52" s="148">
        <f t="shared" si="0"/>
        <v>0.001992</v>
      </c>
      <c r="E52" s="149">
        <f t="shared" si="1"/>
        <v>0.021082</v>
      </c>
      <c r="F52" s="130">
        <f t="shared" si="2"/>
        <v>0.015537599999999999</v>
      </c>
      <c r="G52"/>
    </row>
    <row r="53" spans="1:7" ht="12.75">
      <c r="A53" s="150" t="s">
        <v>210</v>
      </c>
      <c r="B53" s="151">
        <v>115071</v>
      </c>
      <c r="C53" s="152">
        <v>0.771</v>
      </c>
      <c r="D53" s="148">
        <f t="shared" si="0"/>
        <v>0.9252</v>
      </c>
      <c r="E53" s="149">
        <f t="shared" si="1"/>
        <v>9.7917</v>
      </c>
      <c r="F53" s="130">
        <f t="shared" si="2"/>
        <v>7.216559999999999</v>
      </c>
      <c r="G53"/>
    </row>
    <row r="54" spans="1:7" ht="12.75">
      <c r="A54" s="150" t="s">
        <v>211</v>
      </c>
      <c r="B54" s="151">
        <v>75569</v>
      </c>
      <c r="C54" s="152">
        <v>0.0478</v>
      </c>
      <c r="D54" s="148">
        <f t="shared" si="0"/>
        <v>0.05736</v>
      </c>
      <c r="E54" s="149">
        <f t="shared" si="1"/>
        <v>0.60706</v>
      </c>
      <c r="F54" s="130">
        <f t="shared" si="2"/>
        <v>0.447408</v>
      </c>
      <c r="G54"/>
    </row>
    <row r="55" spans="1:7" ht="12.75">
      <c r="A55" s="150" t="s">
        <v>212</v>
      </c>
      <c r="B55" s="151">
        <v>108883</v>
      </c>
      <c r="C55" s="152">
        <v>0.071</v>
      </c>
      <c r="D55" s="148">
        <f t="shared" si="0"/>
        <v>0.08519999999999998</v>
      </c>
      <c r="E55" s="149">
        <f t="shared" si="1"/>
        <v>0.9016999999999998</v>
      </c>
      <c r="F55" s="130">
        <f t="shared" si="2"/>
        <v>0.6645599999999999</v>
      </c>
      <c r="G55"/>
    </row>
    <row r="56" spans="1:7" ht="13.5" thickBot="1">
      <c r="A56" s="153" t="s">
        <v>213</v>
      </c>
      <c r="B56" s="154">
        <v>1330207</v>
      </c>
      <c r="C56" s="155">
        <v>0.0261</v>
      </c>
      <c r="D56" s="156">
        <f t="shared" si="0"/>
        <v>0.03132</v>
      </c>
      <c r="E56" s="157">
        <f t="shared" si="1"/>
        <v>0.33147</v>
      </c>
      <c r="F56" s="158">
        <f t="shared" si="2"/>
        <v>0.244296</v>
      </c>
      <c r="G56"/>
    </row>
    <row r="57" spans="1:7" ht="13.5" thickTop="1">
      <c r="A57" s="159"/>
      <c r="C57" s="160"/>
      <c r="D57" s="161"/>
      <c r="E57" s="161"/>
      <c r="G57"/>
    </row>
    <row r="58" spans="1:6" ht="13.5" thickBot="1">
      <c r="A58" s="4"/>
      <c r="B58" s="55"/>
      <c r="C58" s="55"/>
      <c r="D58" s="71"/>
      <c r="E58" s="71"/>
      <c r="F58" s="71"/>
    </row>
    <row r="59" spans="1:6" ht="13.5" thickTop="1">
      <c r="A59" s="131"/>
      <c r="B59" s="162" t="s">
        <v>191</v>
      </c>
      <c r="C59" s="119" t="s">
        <v>78</v>
      </c>
      <c r="D59" s="59" t="s">
        <v>149</v>
      </c>
      <c r="E59" s="59" t="s">
        <v>150</v>
      </c>
      <c r="F59" s="120" t="s">
        <v>151</v>
      </c>
    </row>
    <row r="60" spans="1:6" ht="12.75">
      <c r="A60" s="60" t="s">
        <v>191</v>
      </c>
      <c r="B60" s="133" t="s">
        <v>193</v>
      </c>
      <c r="C60" s="62" t="s">
        <v>214</v>
      </c>
      <c r="D60" s="134" t="s">
        <v>251</v>
      </c>
      <c r="E60" s="134" t="s">
        <v>251</v>
      </c>
      <c r="F60" s="76" t="s">
        <v>251</v>
      </c>
    </row>
    <row r="61" spans="1:6" ht="12.75">
      <c r="A61" s="136"/>
      <c r="B61" s="137"/>
      <c r="C61" s="62" t="s">
        <v>46</v>
      </c>
      <c r="D61" s="134" t="s">
        <v>46</v>
      </c>
      <c r="E61" s="134" t="s">
        <v>46</v>
      </c>
      <c r="F61" s="76" t="s">
        <v>46</v>
      </c>
    </row>
    <row r="62" spans="1:6" ht="13.5" thickBot="1">
      <c r="A62" s="63"/>
      <c r="B62" s="138"/>
      <c r="C62" s="65" t="s">
        <v>129</v>
      </c>
      <c r="D62" s="139" t="s">
        <v>86</v>
      </c>
      <c r="E62" s="65" t="s">
        <v>86</v>
      </c>
      <c r="F62" s="77" t="s">
        <v>86</v>
      </c>
    </row>
    <row r="63" spans="1:6" ht="13.5" thickTop="1">
      <c r="A63" s="163" t="s">
        <v>194</v>
      </c>
      <c r="B63" s="164">
        <v>106990</v>
      </c>
      <c r="C63" s="165">
        <f aca="true" t="shared" si="3" ref="C63:C82">SUM(D37:F37)</f>
        <v>0.00295402</v>
      </c>
      <c r="D63" s="166">
        <f aca="true" t="shared" si="4" ref="D63:D82">D37*454/(3600*10)</f>
        <v>1.921933333333333E-06</v>
      </c>
      <c r="E63" s="166">
        <f aca="true" t="shared" si="5" ref="E63:E82">E37*454/(50*3600)</f>
        <v>4.068092222222222E-06</v>
      </c>
      <c r="F63" s="167">
        <f aca="true" t="shared" si="6" ref="F63:F82">F37*454/(24*3600)</f>
        <v>6.246283333333333E-06</v>
      </c>
    </row>
    <row r="64" spans="1:6" ht="12.75">
      <c r="A64" s="146" t="s">
        <v>195</v>
      </c>
      <c r="B64" s="147">
        <v>75070</v>
      </c>
      <c r="C64" s="152">
        <f t="shared" si="3"/>
        <v>3.1866200000000005</v>
      </c>
      <c r="D64" s="148">
        <f t="shared" si="4"/>
        <v>0.002073266666666667</v>
      </c>
      <c r="E64" s="148">
        <f t="shared" si="5"/>
        <v>0.004388414444444444</v>
      </c>
      <c r="F64" s="130">
        <f t="shared" si="6"/>
        <v>0.006738116666666668</v>
      </c>
    </row>
    <row r="65" spans="1:6" ht="12.75">
      <c r="A65" s="146" t="s">
        <v>196</v>
      </c>
      <c r="B65" s="147">
        <v>107028</v>
      </c>
      <c r="C65" s="152">
        <f t="shared" si="3"/>
        <v>0.43961399999999995</v>
      </c>
      <c r="D65" s="148">
        <f t="shared" si="4"/>
        <v>0.00028601999999999995</v>
      </c>
      <c r="E65" s="148">
        <f t="shared" si="5"/>
        <v>0.000605409</v>
      </c>
      <c r="F65" s="130">
        <f t="shared" si="6"/>
        <v>0.0009295649999999999</v>
      </c>
    </row>
    <row r="66" spans="1:6" ht="12.75">
      <c r="A66" s="146" t="s">
        <v>197</v>
      </c>
      <c r="B66" s="147">
        <v>7664417</v>
      </c>
      <c r="C66" s="152">
        <f t="shared" si="3"/>
        <v>168.635</v>
      </c>
      <c r="D66" s="148">
        <f t="shared" si="4"/>
        <v>0.10971666666666666</v>
      </c>
      <c r="E66" s="148">
        <f t="shared" si="5"/>
        <v>0.2322336111111111</v>
      </c>
      <c r="F66" s="130">
        <f t="shared" si="6"/>
        <v>0.35657916666666667</v>
      </c>
    </row>
    <row r="67" spans="1:6" ht="12.75">
      <c r="A67" s="146" t="s">
        <v>198</v>
      </c>
      <c r="B67" s="147">
        <v>56553</v>
      </c>
      <c r="C67" s="152">
        <f t="shared" si="3"/>
        <v>0.000525676</v>
      </c>
      <c r="D67" s="148">
        <f t="shared" si="4"/>
        <v>3.4201333333333335E-07</v>
      </c>
      <c r="E67" s="148">
        <f t="shared" si="5"/>
        <v>7.239282222222222E-07</v>
      </c>
      <c r="F67" s="130">
        <f t="shared" si="6"/>
        <v>1.1115433333333333E-06</v>
      </c>
    </row>
    <row r="68" spans="1:6" ht="12.75">
      <c r="A68" s="146" t="s">
        <v>199</v>
      </c>
      <c r="B68" s="147">
        <v>71432</v>
      </c>
      <c r="C68" s="152">
        <f t="shared" si="3"/>
        <v>0.30935799999999997</v>
      </c>
      <c r="D68" s="148">
        <f t="shared" si="4"/>
        <v>0.00020127333333333332</v>
      </c>
      <c r="E68" s="148">
        <f t="shared" si="5"/>
        <v>0.0004260285555555555</v>
      </c>
      <c r="F68" s="130">
        <f t="shared" si="6"/>
        <v>0.0006541383333333332</v>
      </c>
    </row>
    <row r="69" spans="1:6" ht="12.75">
      <c r="A69" s="146" t="s">
        <v>200</v>
      </c>
      <c r="B69" s="147">
        <v>50328</v>
      </c>
      <c r="C69" s="152">
        <f t="shared" si="3"/>
        <v>0.000323314</v>
      </c>
      <c r="D69" s="148">
        <f t="shared" si="4"/>
        <v>2.1035333333333332E-07</v>
      </c>
      <c r="E69" s="148">
        <f t="shared" si="5"/>
        <v>4.452478888888889E-07</v>
      </c>
      <c r="F69" s="130">
        <f t="shared" si="6"/>
        <v>6.836483333333333E-07</v>
      </c>
    </row>
    <row r="70" spans="1:6" ht="12.75">
      <c r="A70" s="146" t="s">
        <v>201</v>
      </c>
      <c r="B70" s="147">
        <v>205992</v>
      </c>
      <c r="C70" s="152">
        <f t="shared" si="3"/>
        <v>0.000262838</v>
      </c>
      <c r="D70" s="148">
        <f t="shared" si="4"/>
        <v>1.7100666666666667E-07</v>
      </c>
      <c r="E70" s="148">
        <f t="shared" si="5"/>
        <v>3.619641111111111E-07</v>
      </c>
      <c r="F70" s="130">
        <f t="shared" si="6"/>
        <v>5.557716666666667E-07</v>
      </c>
    </row>
    <row r="71" spans="1:6" ht="12.75">
      <c r="A71" s="150" t="s">
        <v>202</v>
      </c>
      <c r="B71" s="151">
        <v>207089</v>
      </c>
      <c r="C71" s="152">
        <f t="shared" si="3"/>
        <v>0.00025585999999999995</v>
      </c>
      <c r="D71" s="148">
        <f t="shared" si="4"/>
        <v>1.6646666666666666E-07</v>
      </c>
      <c r="E71" s="148">
        <f t="shared" si="5"/>
        <v>3.5235444444444436E-07</v>
      </c>
      <c r="F71" s="130">
        <f t="shared" si="6"/>
        <v>5.410166666666666E-07</v>
      </c>
    </row>
    <row r="72" spans="1:6" ht="12.75">
      <c r="A72" s="150" t="s">
        <v>203</v>
      </c>
      <c r="B72" s="151">
        <v>218019</v>
      </c>
      <c r="C72" s="152">
        <f t="shared" si="3"/>
        <v>0.0005861519999999999</v>
      </c>
      <c r="D72" s="148">
        <f t="shared" si="4"/>
        <v>3.8136E-07</v>
      </c>
      <c r="E72" s="148">
        <f t="shared" si="5"/>
        <v>8.072119999999999E-07</v>
      </c>
      <c r="F72" s="130">
        <f t="shared" si="6"/>
        <v>1.2394199999999999E-06</v>
      </c>
    </row>
    <row r="73" spans="1:6" ht="12.75">
      <c r="A73" s="150" t="s">
        <v>204</v>
      </c>
      <c r="B73" s="151">
        <v>53703</v>
      </c>
      <c r="C73" s="152">
        <f t="shared" si="3"/>
        <v>0.0005466099999999999</v>
      </c>
      <c r="D73" s="148">
        <f t="shared" si="4"/>
        <v>3.5563333333333333E-07</v>
      </c>
      <c r="E73" s="148">
        <f t="shared" si="5"/>
        <v>7.527572222222221E-07</v>
      </c>
      <c r="F73" s="130">
        <f t="shared" si="6"/>
        <v>1.1558083333333332E-06</v>
      </c>
    </row>
    <row r="74" spans="1:6" ht="12.75">
      <c r="A74" s="150" t="s">
        <v>205</v>
      </c>
      <c r="B74" s="151">
        <v>100414</v>
      </c>
      <c r="C74" s="152">
        <f t="shared" si="3"/>
        <v>0.41635399999999995</v>
      </c>
      <c r="D74" s="148">
        <f t="shared" si="4"/>
        <v>0.00027088666666666666</v>
      </c>
      <c r="E74" s="148">
        <f t="shared" si="5"/>
        <v>0.0005733767777777777</v>
      </c>
      <c r="F74" s="130">
        <f t="shared" si="6"/>
        <v>0.0008803816666666665</v>
      </c>
    </row>
    <row r="75" spans="1:6" ht="12.75">
      <c r="A75" s="150" t="s">
        <v>206</v>
      </c>
      <c r="B75" s="151">
        <v>50000</v>
      </c>
      <c r="C75" s="152">
        <f t="shared" si="3"/>
        <v>21.32942</v>
      </c>
      <c r="D75" s="148">
        <f t="shared" si="4"/>
        <v>0.013877266666666667</v>
      </c>
      <c r="E75" s="148">
        <f t="shared" si="5"/>
        <v>0.029373547777777776</v>
      </c>
      <c r="F75" s="130">
        <f t="shared" si="6"/>
        <v>0.04510111666666666</v>
      </c>
    </row>
    <row r="76" spans="1:6" ht="12.75">
      <c r="A76" s="150" t="s">
        <v>207</v>
      </c>
      <c r="B76" s="151">
        <v>110543</v>
      </c>
      <c r="C76" s="152">
        <f t="shared" si="3"/>
        <v>6.02434</v>
      </c>
      <c r="D76" s="148">
        <f t="shared" si="4"/>
        <v>0.003919533333333333</v>
      </c>
      <c r="E76" s="148">
        <f t="shared" si="5"/>
        <v>0.008296345555555557</v>
      </c>
      <c r="F76" s="130">
        <f t="shared" si="6"/>
        <v>0.012738483333333332</v>
      </c>
    </row>
    <row r="77" spans="1:6" ht="12.75">
      <c r="A77" s="150" t="s">
        <v>208</v>
      </c>
      <c r="B77" s="151">
        <v>193395</v>
      </c>
      <c r="C77" s="152">
        <f t="shared" si="3"/>
        <v>0.0005466099999999999</v>
      </c>
      <c r="D77" s="148">
        <f t="shared" si="4"/>
        <v>3.5563333333333333E-07</v>
      </c>
      <c r="E77" s="148">
        <f t="shared" si="5"/>
        <v>7.527572222222221E-07</v>
      </c>
      <c r="F77" s="130">
        <f t="shared" si="6"/>
        <v>1.1558083333333332E-06</v>
      </c>
    </row>
    <row r="78" spans="1:6" ht="12.75">
      <c r="A78" s="150" t="s">
        <v>209</v>
      </c>
      <c r="B78" s="151">
        <v>91203</v>
      </c>
      <c r="C78" s="152">
        <f t="shared" si="3"/>
        <v>0.038611599999999996</v>
      </c>
      <c r="D78" s="148">
        <f t="shared" si="4"/>
        <v>2.5121333333333333E-05</v>
      </c>
      <c r="E78" s="148">
        <f t="shared" si="5"/>
        <v>5.3173488888888886E-05</v>
      </c>
      <c r="F78" s="130">
        <f t="shared" si="6"/>
        <v>8.164433333333333E-05</v>
      </c>
    </row>
    <row r="79" spans="1:6" ht="12.75">
      <c r="A79" s="150" t="s">
        <v>210</v>
      </c>
      <c r="B79" s="151">
        <v>115071</v>
      </c>
      <c r="C79" s="152">
        <f t="shared" si="3"/>
        <v>17.93346</v>
      </c>
      <c r="D79" s="148">
        <f t="shared" si="4"/>
        <v>0.011667799999999999</v>
      </c>
      <c r="E79" s="148">
        <f t="shared" si="5"/>
        <v>0.024696843333333336</v>
      </c>
      <c r="F79" s="130">
        <f t="shared" si="6"/>
        <v>0.03792035</v>
      </c>
    </row>
    <row r="80" spans="1:6" ht="12.75">
      <c r="A80" s="150" t="s">
        <v>211</v>
      </c>
      <c r="B80" s="151">
        <v>75569</v>
      </c>
      <c r="C80" s="152">
        <f t="shared" si="3"/>
        <v>1.111828</v>
      </c>
      <c r="D80" s="148">
        <f t="shared" si="4"/>
        <v>0.0007233733333333334</v>
      </c>
      <c r="E80" s="148">
        <f t="shared" si="5"/>
        <v>0.0015311402222222225</v>
      </c>
      <c r="F80" s="130">
        <f t="shared" si="6"/>
        <v>0.0023509633333333333</v>
      </c>
    </row>
    <row r="81" spans="1:6" ht="12.75">
      <c r="A81" s="150" t="s">
        <v>212</v>
      </c>
      <c r="B81" s="151">
        <v>108883</v>
      </c>
      <c r="C81" s="152">
        <f t="shared" si="3"/>
        <v>1.6514599999999997</v>
      </c>
      <c r="D81" s="148">
        <f t="shared" si="4"/>
        <v>0.0010744666666666664</v>
      </c>
      <c r="E81" s="148">
        <f t="shared" si="5"/>
        <v>0.0022742877777777773</v>
      </c>
      <c r="F81" s="130">
        <f t="shared" si="6"/>
        <v>0.003492016666666666</v>
      </c>
    </row>
    <row r="82" spans="1:6" ht="13.5" thickBot="1">
      <c r="A82" s="153" t="s">
        <v>213</v>
      </c>
      <c r="B82" s="154">
        <v>1330207</v>
      </c>
      <c r="C82" s="155">
        <f t="shared" si="3"/>
        <v>0.607086</v>
      </c>
      <c r="D82" s="156">
        <f t="shared" si="4"/>
        <v>0.00039497999999999996</v>
      </c>
      <c r="E82" s="156">
        <f t="shared" si="5"/>
        <v>0.000836041</v>
      </c>
      <c r="F82" s="158">
        <f t="shared" si="6"/>
        <v>0.0012836850000000001</v>
      </c>
    </row>
    <row r="83" ht="13.5" thickTop="1"/>
    <row r="84" ht="12.75">
      <c r="A84" s="72" t="s">
        <v>245</v>
      </c>
    </row>
  </sheetData>
  <sheetProtection/>
  <printOptions horizontalCentered="1"/>
  <pageMargins left="0.75" right="0.25" top="0.69" bottom="0.65" header="0.5" footer="0.29"/>
  <pageSetup fitToHeight="2" horizontalDpi="600" verticalDpi="600" orientation="portrait" scale="85" r:id="rId2"/>
  <headerFooter alignWithMargins="0">
    <oddFooter>&amp;L&amp;6K:\REPORTS\R1350\valley\&amp;F\&amp;A&amp;C&amp;P of &amp;N&amp;R&amp;6&amp;D</oddFooter>
  </headerFooter>
  <rowBreaks count="1" manualBreakCount="1">
    <brk id="57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3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17.7109375" style="0" customWidth="1"/>
    <col min="2" max="7" width="13.7109375" style="0" customWidth="1"/>
  </cols>
  <sheetData>
    <row r="1" spans="1:7" ht="17.25">
      <c r="A1" s="197" t="s">
        <v>125</v>
      </c>
      <c r="B1" s="198"/>
      <c r="C1" s="198"/>
      <c r="D1" s="198"/>
      <c r="E1" s="198"/>
      <c r="F1" s="198"/>
      <c r="G1" s="199"/>
    </row>
    <row r="2" spans="1:7" ht="17.25">
      <c r="A2" s="201" t="s">
        <v>93</v>
      </c>
      <c r="B2" s="202"/>
      <c r="C2" s="202"/>
      <c r="D2" s="202"/>
      <c r="E2" s="202"/>
      <c r="F2" s="202"/>
      <c r="G2" s="203"/>
    </row>
    <row r="3" spans="1:7" ht="17.25">
      <c r="A3" s="201" t="s">
        <v>92</v>
      </c>
      <c r="B3" s="202"/>
      <c r="C3" s="202"/>
      <c r="D3" s="202"/>
      <c r="E3" s="202"/>
      <c r="F3" s="202"/>
      <c r="G3" s="203"/>
    </row>
    <row r="4" spans="1:7" ht="17.25">
      <c r="A4" s="201" t="s">
        <v>19</v>
      </c>
      <c r="B4" s="202"/>
      <c r="C4" s="202"/>
      <c r="D4" s="202"/>
      <c r="E4" s="202"/>
      <c r="F4" s="202"/>
      <c r="G4" s="203"/>
    </row>
    <row r="5" spans="1:7" ht="13.5" thickBot="1">
      <c r="A5" s="105"/>
      <c r="B5" s="106"/>
      <c r="C5" s="106"/>
      <c r="D5" s="106"/>
      <c r="E5" s="106"/>
      <c r="F5" s="106"/>
      <c r="G5" s="107"/>
    </row>
    <row r="6" spans="1:7" ht="15">
      <c r="A6" s="3" t="s">
        <v>84</v>
      </c>
      <c r="B6" s="4"/>
      <c r="C6" s="4"/>
      <c r="D6" s="4"/>
      <c r="E6" s="4"/>
      <c r="F6" s="4"/>
      <c r="G6" s="88"/>
    </row>
    <row r="7" spans="1:7" ht="15">
      <c r="A7" s="3" t="s">
        <v>18</v>
      </c>
      <c r="B7" s="4"/>
      <c r="C7" s="4"/>
      <c r="D7" s="4"/>
      <c r="E7" s="4"/>
      <c r="F7" s="4"/>
      <c r="G7" s="88"/>
    </row>
    <row r="8" spans="1:7" ht="15">
      <c r="A8" s="3" t="s">
        <v>132</v>
      </c>
      <c r="B8" s="4"/>
      <c r="C8" s="4"/>
      <c r="D8" s="4"/>
      <c r="E8" s="4"/>
      <c r="F8" s="4"/>
      <c r="G8" s="88"/>
    </row>
    <row r="9" spans="1:7" ht="15">
      <c r="A9" s="3" t="s">
        <v>249</v>
      </c>
      <c r="B9" s="4"/>
      <c r="C9" s="4"/>
      <c r="D9" s="4"/>
      <c r="E9" s="4"/>
      <c r="F9" s="4"/>
      <c r="G9" s="88"/>
    </row>
    <row r="10" spans="1:7" ht="15">
      <c r="A10" s="3" t="s">
        <v>100</v>
      </c>
      <c r="B10" s="4"/>
      <c r="C10" s="4"/>
      <c r="D10" s="4"/>
      <c r="E10" s="4"/>
      <c r="F10" s="4"/>
      <c r="G10" s="88"/>
    </row>
    <row r="11" spans="1:7" ht="12.75">
      <c r="A11" s="3" t="s">
        <v>101</v>
      </c>
      <c r="B11" s="4"/>
      <c r="C11" s="4"/>
      <c r="D11" s="4"/>
      <c r="E11" s="4"/>
      <c r="F11" s="4"/>
      <c r="G11" s="88"/>
    </row>
    <row r="12" spans="1:7" ht="16.5">
      <c r="A12" s="3" t="s">
        <v>114</v>
      </c>
      <c r="B12" s="4"/>
      <c r="C12" s="4"/>
      <c r="D12" s="4"/>
      <c r="E12" s="4"/>
      <c r="F12" s="4"/>
      <c r="G12" s="88"/>
    </row>
    <row r="13" spans="1:7" ht="15">
      <c r="A13" s="3" t="s">
        <v>102</v>
      </c>
      <c r="B13" s="4"/>
      <c r="C13" s="4"/>
      <c r="D13" s="4"/>
      <c r="E13" s="4"/>
      <c r="F13" s="4"/>
      <c r="G13" s="88"/>
    </row>
    <row r="14" spans="1:7" ht="12.75">
      <c r="A14" s="3"/>
      <c r="B14" s="4"/>
      <c r="C14" s="4"/>
      <c r="D14" s="4"/>
      <c r="E14" s="4"/>
      <c r="F14" s="4"/>
      <c r="G14" s="88"/>
    </row>
    <row r="15" spans="1:7" ht="12.75">
      <c r="A15" s="3"/>
      <c r="B15" s="4"/>
      <c r="C15" s="4"/>
      <c r="D15" s="4"/>
      <c r="E15" s="4"/>
      <c r="F15" s="4"/>
      <c r="G15" s="88"/>
    </row>
    <row r="16" spans="1:7" ht="13.5" thickBot="1">
      <c r="A16" s="5"/>
      <c r="B16" s="6"/>
      <c r="C16" s="6"/>
      <c r="D16" s="6"/>
      <c r="E16" s="6"/>
      <c r="F16" s="6"/>
      <c r="G16" s="89"/>
    </row>
    <row r="17" spans="1:7" ht="12.75">
      <c r="A17" s="4"/>
      <c r="B17" s="4"/>
      <c r="C17" s="4"/>
      <c r="D17" s="4"/>
      <c r="E17" s="4"/>
      <c r="F17" s="4"/>
      <c r="G17" s="4"/>
    </row>
    <row r="18" spans="2:7" ht="12.75">
      <c r="B18" s="90"/>
      <c r="C18" s="90"/>
      <c r="D18" s="91"/>
      <c r="E18" s="92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4:7" ht="12.75">
      <c r="D20" s="4"/>
      <c r="E20" s="4"/>
      <c r="F20" s="4"/>
      <c r="G20" s="4"/>
    </row>
    <row r="21" spans="1:5" ht="12.75">
      <c r="A21" s="200" t="s">
        <v>68</v>
      </c>
      <c r="B21" s="200"/>
      <c r="C21" s="200"/>
      <c r="D21" s="200"/>
      <c r="E21" s="200"/>
    </row>
    <row r="22" spans="4:5" ht="12.75">
      <c r="D22" s="1"/>
      <c r="E22" s="1"/>
    </row>
    <row r="23" ht="12.75">
      <c r="A23" s="7" t="s">
        <v>0</v>
      </c>
    </row>
    <row r="25" spans="1:5" ht="12.75">
      <c r="A25" s="1" t="s">
        <v>1</v>
      </c>
      <c r="B25" s="1" t="s">
        <v>2</v>
      </c>
      <c r="C25" s="1" t="s">
        <v>3</v>
      </c>
      <c r="D25" s="1" t="s">
        <v>4</v>
      </c>
      <c r="E25" s="1" t="s">
        <v>103</v>
      </c>
    </row>
    <row r="26" spans="1:5" ht="12.75">
      <c r="A26" s="1" t="s">
        <v>6</v>
      </c>
      <c r="B26" s="1" t="s">
        <v>7</v>
      </c>
      <c r="C26" s="1" t="s">
        <v>8</v>
      </c>
      <c r="D26" s="1" t="s">
        <v>9</v>
      </c>
      <c r="E26" s="1" t="s">
        <v>9</v>
      </c>
    </row>
    <row r="27" spans="1:5" ht="12.75">
      <c r="A27" s="8">
        <f>B27*C27</f>
        <v>390225000</v>
      </c>
      <c r="B27" s="2">
        <v>47300</v>
      </c>
      <c r="C27" s="2">
        <v>8250</v>
      </c>
      <c r="D27" s="8">
        <v>953</v>
      </c>
      <c r="E27" s="8">
        <v>1050</v>
      </c>
    </row>
    <row r="28" ht="12.75">
      <c r="A28" s="9"/>
    </row>
    <row r="29" ht="12.75">
      <c r="A29" s="17" t="s">
        <v>104</v>
      </c>
    </row>
    <row r="30" ht="12.75">
      <c r="A30" s="9"/>
    </row>
    <row r="31" spans="1:6" ht="12.75">
      <c r="A31" s="17" t="s">
        <v>105</v>
      </c>
      <c r="E31" s="7">
        <f>ROUND(A27/(D27*1000000),3)</f>
        <v>0.409</v>
      </c>
      <c r="F31" s="7" t="s">
        <v>106</v>
      </c>
    </row>
    <row r="32" spans="1:6" ht="12.75">
      <c r="A32" s="17"/>
      <c r="E32" s="7"/>
      <c r="F32" s="7"/>
    </row>
    <row r="33" spans="1:6" ht="12.75">
      <c r="A33" s="17" t="s">
        <v>94</v>
      </c>
      <c r="E33" s="7"/>
      <c r="F33" s="7"/>
    </row>
    <row r="34" spans="1:6" ht="12.75">
      <c r="A34" s="17"/>
      <c r="E34" s="7"/>
      <c r="F34" s="7"/>
    </row>
    <row r="35" spans="1:6" ht="15">
      <c r="A35" s="84" t="s">
        <v>95</v>
      </c>
      <c r="B35" s="1" t="s">
        <v>98</v>
      </c>
      <c r="C35" s="1" t="s">
        <v>81</v>
      </c>
      <c r="D35" s="1"/>
      <c r="E35" s="7"/>
      <c r="F35" s="7"/>
    </row>
    <row r="36" spans="1:6" ht="12.75">
      <c r="A36" s="84" t="s">
        <v>126</v>
      </c>
      <c r="B36" s="1" t="s">
        <v>107</v>
      </c>
      <c r="C36" s="1" t="s">
        <v>134</v>
      </c>
      <c r="D36" s="1"/>
      <c r="E36" s="7"/>
      <c r="F36" s="7"/>
    </row>
    <row r="37" spans="1:6" ht="12.75">
      <c r="A37" s="17"/>
      <c r="E37" s="7"/>
      <c r="F37" s="7"/>
    </row>
    <row r="38" spans="1:6" ht="12.75">
      <c r="A38" s="84" t="s">
        <v>133</v>
      </c>
      <c r="B38" s="121">
        <v>1.2</v>
      </c>
      <c r="C38" s="84">
        <f>ROUND(B38*$E$27,1)</f>
        <v>1260</v>
      </c>
      <c r="D38" s="1"/>
      <c r="E38" s="7"/>
      <c r="F38" s="7"/>
    </row>
    <row r="39" spans="1:6" ht="12.75">
      <c r="A39" s="84" t="s">
        <v>135</v>
      </c>
      <c r="B39" s="121">
        <v>12.7</v>
      </c>
      <c r="C39" s="84">
        <f>ROUND(B39*$E$27,1)</f>
        <v>13335</v>
      </c>
      <c r="D39" s="1"/>
      <c r="E39" s="7"/>
      <c r="F39" s="7"/>
    </row>
    <row r="40" spans="1:6" ht="12.75">
      <c r="A40" s="84" t="s">
        <v>140</v>
      </c>
      <c r="B40" s="121">
        <v>9.36</v>
      </c>
      <c r="C40" s="84">
        <f>ROUND(B40*$E$27,1)</f>
        <v>9828</v>
      </c>
      <c r="D40" s="1"/>
      <c r="E40" s="7"/>
      <c r="F40" s="7"/>
    </row>
    <row r="41" spans="1:5" ht="12.75">
      <c r="A41" s="84"/>
      <c r="B41" s="2"/>
      <c r="C41" s="2"/>
      <c r="D41" s="2"/>
      <c r="E41" s="7"/>
    </row>
    <row r="44" spans="1:5" ht="15">
      <c r="A44" s="85" t="s">
        <v>108</v>
      </c>
      <c r="B44" s="12"/>
      <c r="C44" s="10"/>
      <c r="E44" s="11"/>
    </row>
    <row r="45" spans="1:5" ht="15">
      <c r="A45" s="85"/>
      <c r="B45" s="12"/>
      <c r="C45" s="10"/>
      <c r="E45" s="11"/>
    </row>
    <row r="46" spans="1:5" ht="15">
      <c r="A46" s="108"/>
      <c r="B46" s="109" t="s">
        <v>131</v>
      </c>
      <c r="C46" s="10"/>
      <c r="E46" s="11"/>
    </row>
    <row r="47" spans="1:5" ht="15">
      <c r="A47" s="108"/>
      <c r="B47" s="109"/>
      <c r="C47" s="10"/>
      <c r="E47" s="11"/>
    </row>
    <row r="48" spans="1:5" ht="15">
      <c r="A48" s="108"/>
      <c r="B48" s="109"/>
      <c r="C48" s="194" t="s">
        <v>141</v>
      </c>
      <c r="D48" s="195"/>
      <c r="E48" s="11"/>
    </row>
    <row r="49" spans="1:11" ht="12.75">
      <c r="A49" s="7"/>
      <c r="C49" s="7"/>
      <c r="D49" s="7"/>
      <c r="E49" s="7"/>
      <c r="F49" s="7"/>
      <c r="G49" s="7"/>
      <c r="J49" s="4"/>
      <c r="K49" s="12"/>
    </row>
    <row r="50" spans="1:11" ht="15">
      <c r="A50" s="1"/>
      <c r="B50" s="84" t="s">
        <v>10</v>
      </c>
      <c r="C50" s="84" t="s">
        <v>119</v>
      </c>
      <c r="D50" s="1" t="s">
        <v>5</v>
      </c>
      <c r="E50" s="1" t="s">
        <v>13</v>
      </c>
      <c r="F50" s="1"/>
      <c r="G50" s="1"/>
      <c r="J50" s="4"/>
      <c r="K50" s="4"/>
    </row>
    <row r="51" spans="2:7" ht="12.75">
      <c r="B51" s="84"/>
      <c r="C51" s="84" t="s">
        <v>96</v>
      </c>
      <c r="D51" s="1" t="s">
        <v>9</v>
      </c>
      <c r="E51" s="1" t="s">
        <v>109</v>
      </c>
      <c r="F51" s="1"/>
      <c r="G51" s="1"/>
    </row>
    <row r="52" spans="2:7" ht="12.75">
      <c r="B52" s="84"/>
      <c r="C52" s="84"/>
      <c r="D52" s="1"/>
      <c r="E52" s="1"/>
      <c r="F52" s="1"/>
      <c r="G52" s="1"/>
    </row>
    <row r="53" spans="2:7" ht="15">
      <c r="B53" s="110" t="s">
        <v>99</v>
      </c>
      <c r="C53" s="111">
        <v>0.295</v>
      </c>
      <c r="D53" s="110">
        <f>$E$27</f>
        <v>1050</v>
      </c>
      <c r="E53" s="1">
        <f>ROUND(D53*C53,2)</f>
        <v>309.75</v>
      </c>
      <c r="F53" s="1"/>
      <c r="G53" s="1"/>
    </row>
    <row r="54" spans="2:7" ht="12.75">
      <c r="B54" s="110" t="s">
        <v>12</v>
      </c>
      <c r="C54" s="111">
        <v>0.177</v>
      </c>
      <c r="D54" s="110">
        <f>$E$27</f>
        <v>1050</v>
      </c>
      <c r="E54" s="1">
        <f>ROUND(D54*C54,2)</f>
        <v>185.85</v>
      </c>
      <c r="F54" s="1"/>
      <c r="G54" s="1"/>
    </row>
    <row r="55" spans="2:7" ht="12.75">
      <c r="B55" s="110"/>
      <c r="C55" s="111"/>
      <c r="D55" s="110"/>
      <c r="E55" s="1"/>
      <c r="F55" s="1"/>
      <c r="G55" s="1"/>
    </row>
    <row r="56" spans="2:7" ht="12.75">
      <c r="B56" s="110"/>
      <c r="C56" s="111"/>
      <c r="D56" s="110"/>
      <c r="E56" s="1"/>
      <c r="F56" s="1"/>
      <c r="G56" s="1"/>
    </row>
    <row r="57" spans="2:7" ht="12.75">
      <c r="B57" s="110"/>
      <c r="C57" s="196" t="s">
        <v>142</v>
      </c>
      <c r="D57" s="196"/>
      <c r="E57" s="1"/>
      <c r="F57" s="1"/>
      <c r="G57" s="1"/>
    </row>
    <row r="58" spans="2:7" ht="15">
      <c r="B58" s="84" t="s">
        <v>10</v>
      </c>
      <c r="C58" s="84" t="s">
        <v>119</v>
      </c>
      <c r="D58" s="1" t="s">
        <v>5</v>
      </c>
      <c r="E58" s="1" t="s">
        <v>13</v>
      </c>
      <c r="F58" s="1"/>
      <c r="G58" s="1"/>
    </row>
    <row r="59" spans="2:7" ht="12.75">
      <c r="B59" s="84"/>
      <c r="C59" s="84" t="s">
        <v>96</v>
      </c>
      <c r="D59" s="1" t="s">
        <v>9</v>
      </c>
      <c r="E59" s="1" t="s">
        <v>109</v>
      </c>
      <c r="F59" s="1"/>
      <c r="G59" s="1"/>
    </row>
    <row r="60" spans="2:7" ht="12.75">
      <c r="B60" s="110"/>
      <c r="C60" s="111"/>
      <c r="D60" s="110"/>
      <c r="E60" s="1"/>
      <c r="F60" s="1"/>
      <c r="G60" s="1"/>
    </row>
    <row r="61" spans="2:7" ht="15">
      <c r="B61" s="110" t="s">
        <v>99</v>
      </c>
      <c r="C61" s="111">
        <f>G87</f>
        <v>0.0936</v>
      </c>
      <c r="D61" s="110">
        <f>$E$27</f>
        <v>1050</v>
      </c>
      <c r="E61" s="1">
        <f>ROUND(D61*C61,2)</f>
        <v>98.28</v>
      </c>
      <c r="F61" s="1"/>
      <c r="G61" s="1"/>
    </row>
    <row r="62" spans="2:7" ht="12.75">
      <c r="B62" s="110" t="s">
        <v>12</v>
      </c>
      <c r="C62" s="111">
        <v>0.0334</v>
      </c>
      <c r="D62" s="110">
        <f>$E$27</f>
        <v>1050</v>
      </c>
      <c r="E62" s="1">
        <f>ROUND(D62*C62,2)</f>
        <v>35.07</v>
      </c>
      <c r="F62" s="1"/>
      <c r="G62" s="1"/>
    </row>
    <row r="63" spans="2:7" ht="12.75">
      <c r="B63" s="110"/>
      <c r="C63" s="111"/>
      <c r="D63" s="110"/>
      <c r="E63" s="1"/>
      <c r="F63" s="1"/>
      <c r="G63" s="1"/>
    </row>
    <row r="64" spans="2:7" ht="12.75">
      <c r="B64" s="110"/>
      <c r="C64" s="111"/>
      <c r="D64" s="110"/>
      <c r="E64" s="1"/>
      <c r="F64" s="1"/>
      <c r="G64" s="1"/>
    </row>
    <row r="65" spans="1:7" ht="12.75">
      <c r="A65" s="7" t="s">
        <v>72</v>
      </c>
      <c r="D65" s="4"/>
      <c r="E65" s="4"/>
      <c r="F65" s="1"/>
      <c r="G65" s="1"/>
    </row>
    <row r="66" spans="4:7" ht="12.75">
      <c r="D66" s="4"/>
      <c r="E66" s="4"/>
      <c r="F66" s="1"/>
      <c r="G66" s="1"/>
    </row>
    <row r="67" spans="2:7" ht="15">
      <c r="B67" s="79" t="s">
        <v>73</v>
      </c>
      <c r="C67" s="79" t="s">
        <v>120</v>
      </c>
      <c r="D67" s="93" t="s">
        <v>67</v>
      </c>
      <c r="E67" s="92" t="s">
        <v>74</v>
      </c>
      <c r="F67" s="1"/>
      <c r="G67" s="1"/>
    </row>
    <row r="68" spans="2:7" ht="12.75">
      <c r="B68" s="90" t="s">
        <v>75</v>
      </c>
      <c r="C68" s="90">
        <v>94</v>
      </c>
      <c r="D68" s="91">
        <v>16</v>
      </c>
      <c r="E68" s="92">
        <f>ROUND(C68*D68/100,1)</f>
        <v>15</v>
      </c>
      <c r="F68" s="1"/>
      <c r="G68" s="1"/>
    </row>
    <row r="69" spans="2:7" ht="12.75">
      <c r="B69" s="90" t="s">
        <v>76</v>
      </c>
      <c r="C69" s="90">
        <v>3</v>
      </c>
      <c r="D69" s="91">
        <v>30</v>
      </c>
      <c r="E69" s="92">
        <f>ROUND(C69*D69/100,1)</f>
        <v>0.9</v>
      </c>
      <c r="F69" s="1"/>
      <c r="G69" s="1"/>
    </row>
    <row r="70" spans="2:7" ht="12.75">
      <c r="B70" s="90" t="s">
        <v>77</v>
      </c>
      <c r="C70" s="90">
        <v>2</v>
      </c>
      <c r="D70" s="91">
        <v>44</v>
      </c>
      <c r="E70" s="92">
        <f>ROUND(C70*D70/100,1)</f>
        <v>0.9</v>
      </c>
      <c r="F70" s="1"/>
      <c r="G70" s="1"/>
    </row>
    <row r="71" spans="2:7" ht="15">
      <c r="B71" s="90" t="s">
        <v>79</v>
      </c>
      <c r="C71" s="90">
        <v>1</v>
      </c>
      <c r="D71" s="91">
        <v>44</v>
      </c>
      <c r="E71" s="92">
        <f>ROUND(C71*D71/100,1)</f>
        <v>0.4</v>
      </c>
      <c r="F71" s="1"/>
      <c r="G71" s="1"/>
    </row>
    <row r="72" spans="2:7" ht="12.75">
      <c r="B72" s="90"/>
      <c r="C72" s="90"/>
      <c r="D72" s="91"/>
      <c r="E72" s="92"/>
      <c r="F72" s="1"/>
      <c r="G72" s="1"/>
    </row>
    <row r="73" spans="2:7" ht="12.75">
      <c r="B73" s="1" t="s">
        <v>78</v>
      </c>
      <c r="C73" s="2"/>
      <c r="D73" s="55"/>
      <c r="E73" s="12">
        <f>SUM(E68:E72)</f>
        <v>17.2</v>
      </c>
      <c r="F73" s="1"/>
      <c r="G73" s="1"/>
    </row>
    <row r="74" spans="2:7" ht="12.75">
      <c r="B74" s="1"/>
      <c r="C74" s="2"/>
      <c r="D74" s="55"/>
      <c r="E74" s="12"/>
      <c r="F74" s="1"/>
      <c r="G74" s="1"/>
    </row>
    <row r="75" spans="1:5" ht="15">
      <c r="A75" s="7" t="s">
        <v>87</v>
      </c>
      <c r="B75" s="7"/>
      <c r="C75" s="7"/>
      <c r="D75" s="7"/>
      <c r="E75" s="7"/>
    </row>
    <row r="77" spans="1:5" ht="15">
      <c r="A77" s="85" t="s">
        <v>121</v>
      </c>
      <c r="B77" s="12"/>
      <c r="C77" s="10"/>
      <c r="E77" s="11"/>
    </row>
    <row r="78" spans="1:8" ht="12.75">
      <c r="A78" s="84"/>
      <c r="B78" s="12"/>
      <c r="C78" s="193" t="s">
        <v>70</v>
      </c>
      <c r="D78" s="193"/>
      <c r="E78" s="11"/>
      <c r="F78" s="11"/>
      <c r="G78" s="11"/>
      <c r="H78" s="11"/>
    </row>
    <row r="79" spans="1:8" ht="12.75">
      <c r="A79" s="84"/>
      <c r="C79" s="11"/>
      <c r="D79" s="11"/>
      <c r="E79" s="11"/>
      <c r="F79" s="11"/>
      <c r="G79" s="11"/>
      <c r="H79" s="11"/>
    </row>
    <row r="80" spans="1:8" ht="12.75">
      <c r="A80" s="84"/>
      <c r="B80" s="7"/>
      <c r="C80" s="7"/>
      <c r="D80" s="7"/>
      <c r="E80" s="7"/>
      <c r="F80" s="11"/>
      <c r="G80" s="11"/>
      <c r="H80" s="11"/>
    </row>
    <row r="81" spans="1:7" ht="16.5">
      <c r="A81" s="85" t="s">
        <v>80</v>
      </c>
      <c r="B81" s="7"/>
      <c r="C81" s="7"/>
      <c r="D81" s="7"/>
      <c r="E81" s="7"/>
      <c r="F81" s="1"/>
      <c r="G81" s="1"/>
    </row>
    <row r="82" spans="1:7" ht="12.75">
      <c r="A82" s="84"/>
      <c r="B82" s="7"/>
      <c r="C82" s="7"/>
      <c r="D82" s="7"/>
      <c r="E82" s="7"/>
      <c r="F82" s="1"/>
      <c r="G82" s="1"/>
    </row>
    <row r="83" spans="1:7" ht="12.75">
      <c r="A83" s="84"/>
      <c r="B83" s="7"/>
      <c r="C83" s="7"/>
      <c r="D83" s="7"/>
      <c r="E83" s="7"/>
      <c r="F83" s="1"/>
      <c r="G83" s="1"/>
    </row>
    <row r="84" spans="1:7" ht="12.75">
      <c r="A84" s="84"/>
      <c r="B84" s="7"/>
      <c r="C84" s="7"/>
      <c r="D84" s="7"/>
      <c r="E84" s="7"/>
      <c r="F84" s="1"/>
      <c r="G84" s="1"/>
    </row>
    <row r="85" spans="1:7" ht="12.75">
      <c r="A85" s="1" t="s">
        <v>10</v>
      </c>
      <c r="B85" s="84" t="s">
        <v>64</v>
      </c>
      <c r="C85" s="84" t="s">
        <v>66</v>
      </c>
      <c r="D85" s="1" t="s">
        <v>62</v>
      </c>
      <c r="E85" s="1" t="s">
        <v>67</v>
      </c>
      <c r="F85" s="1"/>
      <c r="G85" s="1" t="s">
        <v>11</v>
      </c>
    </row>
    <row r="86" spans="2:7" ht="12.75">
      <c r="B86" s="84" t="s">
        <v>65</v>
      </c>
      <c r="C86" s="84" t="s">
        <v>63</v>
      </c>
      <c r="D86" s="1" t="s">
        <v>20</v>
      </c>
      <c r="E86" s="1" t="s">
        <v>61</v>
      </c>
      <c r="F86" s="1"/>
      <c r="G86" s="1" t="s">
        <v>15</v>
      </c>
    </row>
    <row r="87" spans="1:7" ht="15">
      <c r="A87" s="11" t="s">
        <v>189</v>
      </c>
      <c r="B87" s="2">
        <v>15</v>
      </c>
      <c r="C87" s="84">
        <f>8710*20.9/(20.9-B87)</f>
        <v>30854.067796610176</v>
      </c>
      <c r="D87" s="2">
        <v>25</v>
      </c>
      <c r="E87" s="87">
        <v>46</v>
      </c>
      <c r="F87" s="86"/>
      <c r="G87" s="1">
        <f>ROUND(C87*D87*E87/(1000000*379),4)</f>
        <v>0.0936</v>
      </c>
    </row>
    <row r="88" spans="1:7" ht="15">
      <c r="A88" s="11" t="s">
        <v>188</v>
      </c>
      <c r="B88" s="2">
        <v>15</v>
      </c>
      <c r="C88" s="84">
        <f>8710*20.9/(20.9-B88)</f>
        <v>30854.067796610176</v>
      </c>
      <c r="D88" s="2">
        <v>5</v>
      </c>
      <c r="E88" s="87">
        <v>46</v>
      </c>
      <c r="F88" s="86"/>
      <c r="G88" s="1">
        <f>ROUND(C88*D88*E88/(1000000*379),4)</f>
        <v>0.0187</v>
      </c>
    </row>
    <row r="89" spans="1:7" ht="12.75">
      <c r="A89" t="s">
        <v>12</v>
      </c>
      <c r="B89" s="2">
        <v>15</v>
      </c>
      <c r="C89" s="84">
        <f>8710*20.9/(20.9-B89)</f>
        <v>30854.067796610176</v>
      </c>
      <c r="D89" s="2">
        <v>6</v>
      </c>
      <c r="E89" s="87">
        <v>28</v>
      </c>
      <c r="F89" s="86"/>
      <c r="G89" s="1">
        <f>ROUND(C89*D89*E89/(1000000*379),4)</f>
        <v>0.0137</v>
      </c>
    </row>
    <row r="90" spans="1:7" ht="15">
      <c r="A90" t="s">
        <v>17</v>
      </c>
      <c r="B90" s="2">
        <v>15</v>
      </c>
      <c r="C90" s="84">
        <f>8710*20.9/(20.9-B90)</f>
        <v>30854.067796610176</v>
      </c>
      <c r="D90" s="2">
        <v>2</v>
      </c>
      <c r="E90" s="87">
        <v>16</v>
      </c>
      <c r="F90" s="86"/>
      <c r="G90" s="1">
        <f>ROUND(C90*D90*E90/(1000000*379),4)</f>
        <v>0.0026</v>
      </c>
    </row>
    <row r="91" spans="1:7" ht="15">
      <c r="A91" t="s">
        <v>16</v>
      </c>
      <c r="B91" s="2">
        <v>15</v>
      </c>
      <c r="C91" s="84">
        <f>8710*20.9/(20.9-B91)</f>
        <v>30854.067796610176</v>
      </c>
      <c r="D91" s="2">
        <v>5</v>
      </c>
      <c r="E91" s="87">
        <v>17</v>
      </c>
      <c r="F91" s="86"/>
      <c r="G91" s="1">
        <f>ROUND(C91*D91*E91/(1000000*379),4)</f>
        <v>0.0069</v>
      </c>
    </row>
    <row r="92" spans="2:7" ht="12.75">
      <c r="B92" s="110"/>
      <c r="C92" s="111"/>
      <c r="D92" s="110"/>
      <c r="E92" s="1"/>
      <c r="F92" s="1"/>
      <c r="G92" s="1"/>
    </row>
    <row r="93" ht="12.75">
      <c r="A93" s="7" t="s">
        <v>26</v>
      </c>
    </row>
    <row r="94" spans="1:5" ht="12.75">
      <c r="A94" s="14"/>
      <c r="B94" s="14"/>
      <c r="C94" s="14"/>
      <c r="D94" s="14"/>
      <c r="E94" s="14"/>
    </row>
    <row r="95" spans="2:6" ht="12.75">
      <c r="B95" s="1" t="s">
        <v>10</v>
      </c>
      <c r="C95" s="1" t="s">
        <v>11</v>
      </c>
      <c r="D95" s="1" t="s">
        <v>5</v>
      </c>
      <c r="E95" s="1" t="s">
        <v>13</v>
      </c>
      <c r="F95" s="1"/>
    </row>
    <row r="96" spans="2:6" ht="12.75">
      <c r="B96" s="1"/>
      <c r="C96" s="1" t="s">
        <v>15</v>
      </c>
      <c r="D96" s="1" t="s">
        <v>9</v>
      </c>
      <c r="E96" s="1" t="s">
        <v>14</v>
      </c>
      <c r="F96" s="1"/>
    </row>
    <row r="98" spans="2:6" ht="15">
      <c r="B98" s="11" t="s">
        <v>188</v>
      </c>
      <c r="C98" s="13">
        <f>G88</f>
        <v>0.0187</v>
      </c>
      <c r="D98" s="2">
        <v>1050</v>
      </c>
      <c r="E98" s="15">
        <f>ROUND(D98*C98,2)</f>
        <v>19.64</v>
      </c>
      <c r="F98" s="15"/>
    </row>
    <row r="99" spans="2:6" ht="12.75">
      <c r="B99" s="11" t="s">
        <v>12</v>
      </c>
      <c r="C99" s="13">
        <f>G89</f>
        <v>0.0137</v>
      </c>
      <c r="D99" s="2">
        <v>1050</v>
      </c>
      <c r="E99" s="15">
        <f>ROUND(D99*C99,2)</f>
        <v>14.39</v>
      </c>
      <c r="F99" s="15"/>
    </row>
    <row r="100" spans="2:6" ht="15">
      <c r="B100" s="11" t="s">
        <v>21</v>
      </c>
      <c r="C100" s="13">
        <f>G90</f>
        <v>0.0026</v>
      </c>
      <c r="D100" s="2">
        <v>1050</v>
      </c>
      <c r="E100" s="15">
        <f>ROUND(D100*C100,2)</f>
        <v>2.73</v>
      </c>
      <c r="F100" s="15"/>
    </row>
    <row r="101" spans="2:6" ht="15">
      <c r="B101" s="11" t="s">
        <v>16</v>
      </c>
      <c r="C101" s="13">
        <f>G91</f>
        <v>0.0069</v>
      </c>
      <c r="D101" s="2">
        <v>1050</v>
      </c>
      <c r="E101" s="15">
        <f>ROUND(D101*C101,2)</f>
        <v>7.25</v>
      </c>
      <c r="F101" s="15"/>
    </row>
    <row r="102" spans="2:6" ht="12.75">
      <c r="B102" s="11"/>
      <c r="C102" s="13"/>
      <c r="D102" s="2"/>
      <c r="E102" s="15"/>
      <c r="F102" s="15"/>
    </row>
    <row r="103" spans="1:6" ht="15">
      <c r="A103" s="7" t="s">
        <v>110</v>
      </c>
      <c r="B103" s="7"/>
      <c r="C103" s="16"/>
      <c r="D103" s="1"/>
      <c r="E103" s="15"/>
      <c r="F103" s="15"/>
    </row>
    <row r="104" spans="1:6" ht="12.75">
      <c r="A104" s="7"/>
      <c r="B104" s="7"/>
      <c r="C104" s="16"/>
      <c r="D104" s="1"/>
      <c r="E104" s="15"/>
      <c r="F104" s="15"/>
    </row>
    <row r="105" spans="1:6" ht="12.75">
      <c r="A105" s="7"/>
      <c r="B105" s="7" t="s">
        <v>10</v>
      </c>
      <c r="C105" s="16" t="s">
        <v>22</v>
      </c>
      <c r="D105" s="1" t="s">
        <v>5</v>
      </c>
      <c r="E105" s="16" t="s">
        <v>22</v>
      </c>
      <c r="F105" s="15" t="s">
        <v>23</v>
      </c>
    </row>
    <row r="106" spans="1:6" ht="12.75">
      <c r="A106" s="7"/>
      <c r="B106" s="7"/>
      <c r="C106" s="16" t="s">
        <v>3</v>
      </c>
      <c r="D106" s="1" t="s">
        <v>9</v>
      </c>
      <c r="E106" s="16" t="s">
        <v>3</v>
      </c>
      <c r="F106" s="15"/>
    </row>
    <row r="107" spans="2:6" ht="12.75">
      <c r="B107" s="11"/>
      <c r="C107" s="16" t="s">
        <v>15</v>
      </c>
      <c r="D107" s="2"/>
      <c r="E107" s="16" t="s">
        <v>14</v>
      </c>
      <c r="F107" s="15" t="s">
        <v>24</v>
      </c>
    </row>
    <row r="108" spans="2:6" ht="12.75">
      <c r="B108" s="11"/>
      <c r="C108" s="16"/>
      <c r="D108" s="2"/>
      <c r="E108" s="15"/>
      <c r="F108" s="15"/>
    </row>
    <row r="109" spans="2:6" ht="15">
      <c r="B109" s="11" t="s">
        <v>122</v>
      </c>
      <c r="C109" s="2">
        <v>0.0066</v>
      </c>
      <c r="D109" s="2">
        <v>1050</v>
      </c>
      <c r="E109" s="15">
        <f>ROUND(D109*C109,2)</f>
        <v>6.93</v>
      </c>
      <c r="F109" s="81" t="s">
        <v>25</v>
      </c>
    </row>
    <row r="110" spans="2:6" ht="16.5">
      <c r="B110" s="11" t="s">
        <v>58</v>
      </c>
      <c r="C110" s="2" t="s">
        <v>27</v>
      </c>
      <c r="D110" s="2">
        <v>1050</v>
      </c>
      <c r="E110" s="15">
        <f>ROUND(D110*0.94*F110,2)</f>
        <v>1.48</v>
      </c>
      <c r="F110" s="82">
        <f>+F118</f>
        <v>0.0015</v>
      </c>
    </row>
    <row r="113" ht="12.75">
      <c r="A113" s="7" t="s">
        <v>59</v>
      </c>
    </row>
    <row r="115" ht="15">
      <c r="B115" s="7" t="s">
        <v>60</v>
      </c>
    </row>
    <row r="117" spans="2:6" ht="28.5">
      <c r="B117" s="79"/>
      <c r="C117" s="80" t="s">
        <v>123</v>
      </c>
      <c r="D117" s="80" t="s">
        <v>57</v>
      </c>
      <c r="E117" s="78" t="s">
        <v>71</v>
      </c>
      <c r="F117" s="79" t="s">
        <v>56</v>
      </c>
    </row>
    <row r="118" spans="2:6" ht="12.75">
      <c r="B118" s="1"/>
      <c r="C118" s="2">
        <v>8</v>
      </c>
      <c r="D118" s="2">
        <v>32</v>
      </c>
      <c r="E118" s="2">
        <f>E73</f>
        <v>17.2</v>
      </c>
      <c r="F118" s="1">
        <f>ROUND((C118*D118*100)/(E118*1000000),4)</f>
        <v>0.0015</v>
      </c>
    </row>
    <row r="119" spans="2:6" ht="12.75">
      <c r="B119" s="11"/>
      <c r="C119" s="16"/>
      <c r="D119" s="2"/>
      <c r="E119" s="15"/>
      <c r="F119" s="15"/>
    </row>
    <row r="120" spans="1:7" ht="16.5">
      <c r="A120" s="85" t="s">
        <v>176</v>
      </c>
      <c r="B120" s="7"/>
      <c r="C120" s="7"/>
      <c r="D120" s="7"/>
      <c r="E120" s="7"/>
      <c r="F120" s="1"/>
      <c r="G120" s="1"/>
    </row>
    <row r="121" spans="1:7" ht="12.75">
      <c r="A121" s="84"/>
      <c r="B121" s="7"/>
      <c r="C121" s="7"/>
      <c r="D121" s="7"/>
      <c r="E121" s="7"/>
      <c r="F121" s="1"/>
      <c r="G121" s="1"/>
    </row>
    <row r="122" spans="1:7" ht="15.75" thickBot="1">
      <c r="A122" s="7" t="s">
        <v>152</v>
      </c>
      <c r="B122" s="7"/>
      <c r="C122" s="7" t="s">
        <v>153</v>
      </c>
      <c r="D122" s="7"/>
      <c r="E122" s="125" t="s">
        <v>154</v>
      </c>
      <c r="F122" s="125"/>
      <c r="G122" s="86"/>
    </row>
    <row r="123" spans="1:11" ht="15">
      <c r="A123" s="7"/>
      <c r="B123" s="7"/>
      <c r="C123" s="7"/>
      <c r="D123" s="7"/>
      <c r="E123" s="7" t="s">
        <v>155</v>
      </c>
      <c r="F123" s="7"/>
      <c r="G123" s="7"/>
      <c r="J123" s="4"/>
      <c r="K123" s="12"/>
    </row>
    <row r="124" spans="1:11" ht="12.75">
      <c r="A124" s="7"/>
      <c r="B124" s="7"/>
      <c r="C124" s="7"/>
      <c r="D124" s="7"/>
      <c r="E124" s="7"/>
      <c r="F124" s="7"/>
      <c r="G124" s="7"/>
      <c r="J124" s="4"/>
      <c r="K124" s="12"/>
    </row>
    <row r="125" spans="1:11" ht="15">
      <c r="A125" s="7"/>
      <c r="B125" s="126" t="s">
        <v>156</v>
      </c>
      <c r="C125" s="7"/>
      <c r="D125" s="7"/>
      <c r="E125" s="7"/>
      <c r="F125" s="7"/>
      <c r="G125" s="7"/>
      <c r="J125" s="4"/>
      <c r="K125" s="12"/>
    </row>
    <row r="126" spans="1:11" ht="15">
      <c r="A126" s="7"/>
      <c r="B126" s="7" t="s">
        <v>157</v>
      </c>
      <c r="C126" s="7"/>
      <c r="D126" s="7"/>
      <c r="E126" s="7"/>
      <c r="F126" s="7"/>
      <c r="G126" s="7"/>
      <c r="J126" s="4"/>
      <c r="K126" s="12"/>
    </row>
    <row r="127" spans="1:11" ht="12.75">
      <c r="A127" s="7"/>
      <c r="B127" s="7"/>
      <c r="C127" s="7"/>
      <c r="D127" s="7"/>
      <c r="E127" s="7"/>
      <c r="F127" s="7"/>
      <c r="G127" s="7"/>
      <c r="J127" s="4"/>
      <c r="K127" s="12"/>
    </row>
    <row r="128" spans="1:11" ht="12.75">
      <c r="A128" s="1" t="s">
        <v>158</v>
      </c>
      <c r="B128" s="84" t="s">
        <v>64</v>
      </c>
      <c r="C128" s="84" t="s">
        <v>66</v>
      </c>
      <c r="D128" s="1" t="s">
        <v>159</v>
      </c>
      <c r="E128" s="1" t="s">
        <v>160</v>
      </c>
      <c r="F128" s="1" t="s">
        <v>161</v>
      </c>
      <c r="G128" s="1" t="s">
        <v>160</v>
      </c>
      <c r="H128" s="1" t="s">
        <v>160</v>
      </c>
      <c r="J128" s="4"/>
      <c r="K128" s="4"/>
    </row>
    <row r="129" spans="2:8" ht="15">
      <c r="B129" s="84" t="s">
        <v>65</v>
      </c>
      <c r="C129" s="84" t="s">
        <v>162</v>
      </c>
      <c r="D129" s="1" t="s">
        <v>179</v>
      </c>
      <c r="E129" s="1" t="s">
        <v>180</v>
      </c>
      <c r="F129" s="1" t="s">
        <v>163</v>
      </c>
      <c r="G129" s="1" t="s">
        <v>181</v>
      </c>
      <c r="H129" s="1" t="s">
        <v>164</v>
      </c>
    </row>
    <row r="131" spans="1:8" ht="12.75">
      <c r="A131" s="1" t="s">
        <v>172</v>
      </c>
      <c r="B131" s="2">
        <v>15</v>
      </c>
      <c r="C131" s="84">
        <f>10610*20.9/(20.9-B131)</f>
        <v>37584.576271186445</v>
      </c>
      <c r="D131" s="127">
        <f>C38/10</f>
        <v>126</v>
      </c>
      <c r="E131" s="84">
        <f>ROUND(D131*C131,0)</f>
        <v>4735657</v>
      </c>
      <c r="F131" s="8">
        <v>841</v>
      </c>
      <c r="G131" s="84">
        <f>ROUND(E131*((F131+460)/520),0)</f>
        <v>11848250</v>
      </c>
      <c r="H131" s="84">
        <f>ROUND(G131/3600,0)</f>
        <v>3291</v>
      </c>
    </row>
    <row r="132" spans="1:8" ht="12.75">
      <c r="A132" s="1" t="s">
        <v>173</v>
      </c>
      <c r="B132" s="2">
        <v>15</v>
      </c>
      <c r="C132" s="84">
        <f>10610*20.9/(20.9-B132)</f>
        <v>37584.576271186445</v>
      </c>
      <c r="D132" s="127">
        <f>C39/50</f>
        <v>266.7</v>
      </c>
      <c r="E132" s="84">
        <f>ROUND(D132*C132,0)</f>
        <v>10023806</v>
      </c>
      <c r="F132" s="8">
        <v>841</v>
      </c>
      <c r="G132" s="84">
        <f>ROUND(E132*((F132+460)/520),0)</f>
        <v>25078792</v>
      </c>
      <c r="H132" s="84">
        <f>ROUND(G132/3600,0)</f>
        <v>6966</v>
      </c>
    </row>
    <row r="133" spans="1:8" ht="12.75">
      <c r="A133" s="1" t="s">
        <v>174</v>
      </c>
      <c r="B133" s="2">
        <v>15</v>
      </c>
      <c r="C133" s="84">
        <f>10610*20.9/(20.9-B133)</f>
        <v>37584.576271186445</v>
      </c>
      <c r="D133" s="127">
        <f>C40/24</f>
        <v>409.5</v>
      </c>
      <c r="E133" s="84">
        <f>ROUND(D133*C133,0)</f>
        <v>15390884</v>
      </c>
      <c r="F133" s="8">
        <v>841</v>
      </c>
      <c r="G133" s="84">
        <f>ROUND(E133*((F133+460)/520),0)</f>
        <v>38506808</v>
      </c>
      <c r="H133" s="84">
        <f>ROUND(G133/3600,0)</f>
        <v>10696</v>
      </c>
    </row>
    <row r="134" spans="2:7" ht="12.75">
      <c r="B134" s="2"/>
      <c r="C134" s="84"/>
      <c r="D134" s="2"/>
      <c r="E134" s="87"/>
      <c r="F134" s="86"/>
      <c r="G134" s="1"/>
    </row>
    <row r="135" spans="1:7" ht="28.5">
      <c r="A135" s="1" t="s">
        <v>158</v>
      </c>
      <c r="B135" s="80" t="s">
        <v>183</v>
      </c>
      <c r="C135" s="80" t="s">
        <v>165</v>
      </c>
      <c r="D135" s="80" t="s">
        <v>165</v>
      </c>
      <c r="E135" s="80" t="s">
        <v>166</v>
      </c>
      <c r="F135" s="80" t="s">
        <v>182</v>
      </c>
      <c r="G135" s="80" t="s">
        <v>167</v>
      </c>
    </row>
    <row r="136" spans="2:7" ht="12.75">
      <c r="B136" s="110" t="s">
        <v>168</v>
      </c>
      <c r="C136" s="128" t="s">
        <v>169</v>
      </c>
      <c r="D136" s="84" t="s">
        <v>170</v>
      </c>
      <c r="E136" s="84" t="s">
        <v>171</v>
      </c>
      <c r="F136" s="110" t="s">
        <v>168</v>
      </c>
      <c r="G136" s="84" t="s">
        <v>171</v>
      </c>
    </row>
    <row r="137" spans="2:7" ht="12.75">
      <c r="B137" s="110"/>
      <c r="C137" s="128"/>
      <c r="D137" s="84"/>
      <c r="E137" s="84"/>
      <c r="F137" s="110"/>
      <c r="G137" s="84"/>
    </row>
    <row r="138" spans="1:7" ht="12.75">
      <c r="A138" s="1" t="s">
        <v>185</v>
      </c>
      <c r="B138" s="110">
        <v>10</v>
      </c>
      <c r="C138" s="128">
        <f>ROUND(H131/((PI()*(B138/2)^2)),2)</f>
        <v>41.9</v>
      </c>
      <c r="D138" s="129">
        <f>ROUND(C138*0.3048,2)</f>
        <v>12.77</v>
      </c>
      <c r="E138" s="129">
        <f>ROUND(B138*0.3048,2)</f>
        <v>3.05</v>
      </c>
      <c r="F138" s="110">
        <v>110</v>
      </c>
      <c r="G138" s="129">
        <f>ROUND(F138*0.3048,2)</f>
        <v>33.53</v>
      </c>
    </row>
    <row r="139" spans="1:7" ht="12.75">
      <c r="A139" s="1" t="s">
        <v>186</v>
      </c>
      <c r="B139" s="110">
        <v>10</v>
      </c>
      <c r="C139" s="128">
        <f>ROUND(H132/((PI()*(B139/2)^2)),2)</f>
        <v>88.69</v>
      </c>
      <c r="D139" s="129">
        <f>ROUND(C139*0.3048,2)</f>
        <v>27.03</v>
      </c>
      <c r="E139" s="129">
        <f>ROUND(B139*0.3048,2)</f>
        <v>3.05</v>
      </c>
      <c r="F139" s="110">
        <v>110</v>
      </c>
      <c r="G139" s="129">
        <f>ROUND(F139*0.3048,2)</f>
        <v>33.53</v>
      </c>
    </row>
    <row r="140" spans="1:7" ht="12.75">
      <c r="A140" s="1" t="s">
        <v>187</v>
      </c>
      <c r="B140" s="110">
        <v>10</v>
      </c>
      <c r="C140" s="81">
        <f>ROUND(H133/((PI()*(B140/2)^2)),2)</f>
        <v>136.19</v>
      </c>
      <c r="D140" s="129">
        <f>ROUND(C140*0.3048,2)</f>
        <v>41.51</v>
      </c>
      <c r="E140" s="129">
        <f>ROUND(B140*0.3048,2)</f>
        <v>3.05</v>
      </c>
      <c r="F140" s="110">
        <v>110</v>
      </c>
      <c r="G140" s="129">
        <f>ROUND(F140*0.3048,2)</f>
        <v>33.53</v>
      </c>
    </row>
    <row r="141" spans="2:6" ht="12.75">
      <c r="B141" s="11"/>
      <c r="C141" s="2"/>
      <c r="D141" s="2"/>
      <c r="E141" s="15"/>
      <c r="F141" s="82"/>
    </row>
    <row r="145" ht="12.75">
      <c r="A145" s="11" t="s">
        <v>82</v>
      </c>
    </row>
    <row r="146" ht="12.75">
      <c r="A146" s="11" t="s">
        <v>97</v>
      </c>
    </row>
    <row r="147" ht="12.75">
      <c r="A147" s="11" t="s">
        <v>177</v>
      </c>
    </row>
    <row r="148" ht="12.75">
      <c r="A148" s="11" t="s">
        <v>115</v>
      </c>
    </row>
    <row r="149" ht="12.75">
      <c r="A149" s="11" t="s">
        <v>116</v>
      </c>
    </row>
    <row r="150" ht="12.75">
      <c r="A150" s="11" t="s">
        <v>117</v>
      </c>
    </row>
    <row r="151" ht="12.75">
      <c r="A151" s="11" t="s">
        <v>112</v>
      </c>
    </row>
    <row r="152" ht="12.75">
      <c r="A152" s="11" t="s">
        <v>113</v>
      </c>
    </row>
    <row r="153" ht="12.75">
      <c r="A153" s="11" t="s">
        <v>143</v>
      </c>
    </row>
    <row r="154" ht="12.75">
      <c r="A154" s="11" t="s">
        <v>190</v>
      </c>
    </row>
    <row r="155" ht="12.75">
      <c r="A155" s="11" t="s">
        <v>118</v>
      </c>
    </row>
    <row r="156" spans="1:7" ht="12.75">
      <c r="A156" s="11" t="s">
        <v>83</v>
      </c>
      <c r="B156" s="1"/>
      <c r="C156" s="1"/>
      <c r="D156" s="1"/>
      <c r="E156" s="1"/>
      <c r="F156" s="2"/>
      <c r="G156" s="2"/>
    </row>
    <row r="157" spans="1:7" ht="12.75">
      <c r="A157" s="11" t="s">
        <v>88</v>
      </c>
      <c r="F157" s="2"/>
      <c r="G157" s="2"/>
    </row>
    <row r="158" spans="1:5" ht="12.75">
      <c r="A158" s="11" t="s">
        <v>178</v>
      </c>
      <c r="B158" s="7"/>
      <c r="C158" s="15"/>
      <c r="D158" s="13"/>
      <c r="E158" s="2"/>
    </row>
    <row r="159" spans="1:5" ht="12.75">
      <c r="A159" s="11" t="s">
        <v>175</v>
      </c>
      <c r="B159" s="7"/>
      <c r="C159" s="15"/>
      <c r="D159" s="13"/>
      <c r="E159" s="2"/>
    </row>
    <row r="160" spans="1:5" ht="12.75">
      <c r="A160" s="11" t="s">
        <v>184</v>
      </c>
      <c r="B160" s="7"/>
      <c r="C160" s="15"/>
      <c r="D160" s="13"/>
      <c r="E160" s="2"/>
    </row>
    <row r="161" spans="2:5" ht="12.75">
      <c r="B161" s="7"/>
      <c r="C161" s="15"/>
      <c r="D161" s="13"/>
      <c r="E161" s="2"/>
    </row>
    <row r="162" spans="2:5" ht="12.75">
      <c r="B162" s="7"/>
      <c r="C162" s="15"/>
      <c r="D162" s="2"/>
      <c r="E162" s="2"/>
    </row>
    <row r="163" spans="2:5" ht="12.75">
      <c r="B163" s="7"/>
      <c r="C163" s="15"/>
      <c r="D163" s="2"/>
      <c r="E163" s="2"/>
    </row>
  </sheetData>
  <sheetProtection/>
  <mergeCells count="8">
    <mergeCell ref="C78:D78"/>
    <mergeCell ref="C48:D48"/>
    <mergeCell ref="C57:D57"/>
    <mergeCell ref="A1:G1"/>
    <mergeCell ref="A21:E21"/>
    <mergeCell ref="A2:G2"/>
    <mergeCell ref="A3:G3"/>
    <mergeCell ref="A4:G4"/>
  </mergeCells>
  <printOptions horizontalCentered="1"/>
  <pageMargins left="0.75" right="0.75" top="0.69" bottom="0.65" header="0.5" footer="0.29"/>
  <pageSetup fitToHeight="3" horizontalDpi="600" verticalDpi="600" orientation="portrait" scale="76" r:id="rId2"/>
  <headerFooter alignWithMargins="0">
    <oddFooter>&amp;L&amp;8K:\REPORTS\R1350\harbor\&amp;F\&amp;A&amp;C&amp;P of &amp;N&amp;R&amp;6&amp;D</oddFooter>
  </headerFooter>
  <rowBreaks count="2" manualBreakCount="2">
    <brk id="64" max="255" man="1"/>
    <brk id="1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1.00390625" style="0" customWidth="1"/>
    <col min="2" max="2" width="25.7109375" style="0" customWidth="1"/>
    <col min="3" max="3" width="14.7109375" style="0" customWidth="1"/>
    <col min="4" max="4" width="12.7109375" style="0" customWidth="1"/>
    <col min="5" max="5" width="16.7109375" style="0" customWidth="1"/>
  </cols>
  <sheetData>
    <row r="1" spans="1:5" ht="18" thickTop="1">
      <c r="A1" s="204" t="s">
        <v>215</v>
      </c>
      <c r="B1" s="205"/>
      <c r="C1" s="205"/>
      <c r="D1" s="205"/>
      <c r="E1" s="206"/>
    </row>
    <row r="2" spans="1:5" ht="17.25">
      <c r="A2" s="207" t="s">
        <v>216</v>
      </c>
      <c r="B2" s="202"/>
      <c r="C2" s="202"/>
      <c r="D2" s="202"/>
      <c r="E2" s="208"/>
    </row>
    <row r="3" spans="1:5" ht="12.75">
      <c r="A3" s="168"/>
      <c r="B3" s="169"/>
      <c r="C3" s="169"/>
      <c r="D3" s="169"/>
      <c r="E3" s="170"/>
    </row>
    <row r="4" spans="1:5" ht="12.75">
      <c r="A4" s="168"/>
      <c r="B4" s="169"/>
      <c r="C4" s="169"/>
      <c r="D4" s="169"/>
      <c r="E4" s="170"/>
    </row>
    <row r="5" spans="1:5" ht="12.75">
      <c r="A5" s="171"/>
      <c r="B5" s="172"/>
      <c r="C5" s="172"/>
      <c r="D5" s="172"/>
      <c r="E5" s="173"/>
    </row>
    <row r="6" spans="1:5" ht="12.75">
      <c r="A6" s="174" t="s">
        <v>217</v>
      </c>
      <c r="B6" s="175"/>
      <c r="C6" s="175"/>
      <c r="D6" s="175"/>
      <c r="E6" s="176"/>
    </row>
    <row r="7" spans="1:5" ht="12.75">
      <c r="A7" s="177" t="s">
        <v>218</v>
      </c>
      <c r="B7" s="178"/>
      <c r="C7" s="178"/>
      <c r="D7" s="178"/>
      <c r="E7" s="179"/>
    </row>
    <row r="8" spans="1:5" ht="12.75">
      <c r="A8" s="177" t="s">
        <v>219</v>
      </c>
      <c r="B8" s="178"/>
      <c r="C8" s="178"/>
      <c r="D8" s="178"/>
      <c r="E8" s="179"/>
    </row>
    <row r="9" spans="1:5" ht="12.75">
      <c r="A9" s="180" t="s">
        <v>220</v>
      </c>
      <c r="B9" s="181"/>
      <c r="C9" s="181"/>
      <c r="D9" s="181"/>
      <c r="E9" s="182"/>
    </row>
    <row r="10" spans="1:5" ht="12.75">
      <c r="A10" s="183"/>
      <c r="B10" s="184"/>
      <c r="C10" s="184"/>
      <c r="D10" s="184"/>
      <c r="E10" s="185"/>
    </row>
    <row r="11" spans="1:5" ht="12.75">
      <c r="A11" s="186" t="s">
        <v>221</v>
      </c>
      <c r="B11" s="62" t="s">
        <v>191</v>
      </c>
      <c r="C11" s="62" t="s">
        <v>222</v>
      </c>
      <c r="D11" s="62" t="s">
        <v>223</v>
      </c>
      <c r="E11" s="76" t="s">
        <v>224</v>
      </c>
    </row>
    <row r="12" spans="1:5" ht="12.75">
      <c r="A12" s="186" t="s">
        <v>225</v>
      </c>
      <c r="B12" s="62"/>
      <c r="C12" s="62"/>
      <c r="D12" s="62" t="s">
        <v>226</v>
      </c>
      <c r="E12" s="76" t="s">
        <v>3</v>
      </c>
    </row>
    <row r="13" spans="1:5" ht="12.75">
      <c r="A13" s="187"/>
      <c r="B13" s="188"/>
      <c r="C13" s="188"/>
      <c r="D13" s="188" t="s">
        <v>227</v>
      </c>
      <c r="E13" s="189" t="s">
        <v>228</v>
      </c>
    </row>
    <row r="14" spans="1:5" ht="12.75">
      <c r="A14" s="151" t="s">
        <v>49</v>
      </c>
      <c r="B14" s="190" t="s">
        <v>194</v>
      </c>
      <c r="C14" s="151">
        <v>106990</v>
      </c>
      <c r="D14" s="151" t="s">
        <v>229</v>
      </c>
      <c r="E14" s="152">
        <v>0.000127</v>
      </c>
    </row>
    <row r="15" spans="1:5" ht="12.75">
      <c r="A15" s="151" t="s">
        <v>230</v>
      </c>
      <c r="B15" s="190" t="s">
        <v>231</v>
      </c>
      <c r="C15" s="151">
        <v>91587</v>
      </c>
      <c r="D15" s="151" t="s">
        <v>232</v>
      </c>
      <c r="E15" s="152">
        <v>2.72E-07</v>
      </c>
    </row>
    <row r="16" spans="1:5" ht="12.75">
      <c r="A16" s="151" t="s">
        <v>230</v>
      </c>
      <c r="B16" s="190" t="s">
        <v>233</v>
      </c>
      <c r="C16" s="151">
        <v>91576</v>
      </c>
      <c r="D16" s="151" t="s">
        <v>232</v>
      </c>
      <c r="E16" s="152">
        <v>5.29E-06</v>
      </c>
    </row>
    <row r="17" spans="1:5" ht="12.75">
      <c r="A17" s="151" t="s">
        <v>234</v>
      </c>
      <c r="B17" s="190" t="s">
        <v>235</v>
      </c>
      <c r="C17" s="151">
        <v>83329</v>
      </c>
      <c r="D17" s="151" t="s">
        <v>232</v>
      </c>
      <c r="E17" s="152">
        <v>1.9E-05</v>
      </c>
    </row>
    <row r="18" spans="1:5" ht="12.75">
      <c r="A18" s="151" t="s">
        <v>234</v>
      </c>
      <c r="B18" s="190" t="s">
        <v>236</v>
      </c>
      <c r="C18" s="151">
        <v>208968</v>
      </c>
      <c r="D18" s="151" t="s">
        <v>232</v>
      </c>
      <c r="E18" s="152">
        <v>1.47E-05</v>
      </c>
    </row>
    <row r="19" spans="1:5" ht="12.75">
      <c r="A19" s="151" t="s">
        <v>49</v>
      </c>
      <c r="B19" s="190" t="s">
        <v>195</v>
      </c>
      <c r="C19" s="151">
        <v>75070</v>
      </c>
      <c r="D19" s="151" t="s">
        <v>229</v>
      </c>
      <c r="E19" s="152">
        <v>0.137</v>
      </c>
    </row>
    <row r="20" spans="1:5" ht="12.75">
      <c r="A20" s="151" t="s">
        <v>49</v>
      </c>
      <c r="B20" s="190" t="s">
        <v>196</v>
      </c>
      <c r="C20" s="151">
        <v>107028</v>
      </c>
      <c r="D20" s="151" t="s">
        <v>229</v>
      </c>
      <c r="E20" s="152">
        <v>0.0189</v>
      </c>
    </row>
    <row r="21" spans="1:5" ht="12.75">
      <c r="A21" s="151" t="s">
        <v>234</v>
      </c>
      <c r="B21" s="190" t="s">
        <v>237</v>
      </c>
      <c r="C21" s="151">
        <v>120127</v>
      </c>
      <c r="D21" s="151" t="s">
        <v>232</v>
      </c>
      <c r="E21" s="152">
        <v>3.38E-05</v>
      </c>
    </row>
    <row r="22" spans="1:5" ht="12.75">
      <c r="A22" s="151" t="s">
        <v>234</v>
      </c>
      <c r="B22" s="190" t="s">
        <v>198</v>
      </c>
      <c r="C22" s="151">
        <v>56553</v>
      </c>
      <c r="D22" s="151" t="s">
        <v>229</v>
      </c>
      <c r="E22" s="152">
        <v>2.26E-05</v>
      </c>
    </row>
    <row r="23" spans="1:5" ht="12.75">
      <c r="A23" s="151" t="s">
        <v>49</v>
      </c>
      <c r="B23" s="190" t="s">
        <v>199</v>
      </c>
      <c r="C23" s="151">
        <v>71432</v>
      </c>
      <c r="D23" s="151" t="s">
        <v>229</v>
      </c>
      <c r="E23" s="152">
        <v>0.0133</v>
      </c>
    </row>
    <row r="24" spans="1:5" ht="12.75">
      <c r="A24" s="151" t="s">
        <v>234</v>
      </c>
      <c r="B24" s="190" t="s">
        <v>200</v>
      </c>
      <c r="C24" s="151">
        <v>50328</v>
      </c>
      <c r="D24" s="151" t="s">
        <v>229</v>
      </c>
      <c r="E24" s="152">
        <v>1.39E-05</v>
      </c>
    </row>
    <row r="25" spans="1:5" ht="12.75">
      <c r="A25" s="151" t="s">
        <v>234</v>
      </c>
      <c r="B25" s="190" t="s">
        <v>201</v>
      </c>
      <c r="C25" s="151">
        <v>205992</v>
      </c>
      <c r="D25" s="151" t="s">
        <v>229</v>
      </c>
      <c r="E25" s="152">
        <v>1.13E-05</v>
      </c>
    </row>
    <row r="26" spans="1:5" ht="12.75">
      <c r="A26" s="151" t="s">
        <v>234</v>
      </c>
      <c r="B26" s="190" t="s">
        <v>238</v>
      </c>
      <c r="C26" s="151">
        <v>192972</v>
      </c>
      <c r="D26" s="151" t="s">
        <v>232</v>
      </c>
      <c r="E26" s="152">
        <v>5.44E-07</v>
      </c>
    </row>
    <row r="27" spans="1:5" ht="12.75">
      <c r="A27" s="151" t="s">
        <v>234</v>
      </c>
      <c r="B27" s="190" t="s">
        <v>239</v>
      </c>
      <c r="C27" s="151">
        <v>191242</v>
      </c>
      <c r="D27" s="151" t="s">
        <v>232</v>
      </c>
      <c r="E27" s="152">
        <v>1.37E-05</v>
      </c>
    </row>
    <row r="28" spans="1:5" ht="12.75">
      <c r="A28" s="151" t="s">
        <v>234</v>
      </c>
      <c r="B28" s="190" t="s">
        <v>202</v>
      </c>
      <c r="C28" s="151">
        <v>207089</v>
      </c>
      <c r="D28" s="151" t="s">
        <v>229</v>
      </c>
      <c r="E28" s="152">
        <v>1.1E-05</v>
      </c>
    </row>
    <row r="29" spans="1:5" ht="12.75">
      <c r="A29" s="151" t="s">
        <v>234</v>
      </c>
      <c r="B29" s="190" t="s">
        <v>203</v>
      </c>
      <c r="C29" s="151">
        <v>218019</v>
      </c>
      <c r="D29" s="151" t="s">
        <v>229</v>
      </c>
      <c r="E29" s="152">
        <v>2.52E-05</v>
      </c>
    </row>
    <row r="30" spans="1:5" ht="12.75">
      <c r="A30" s="151" t="s">
        <v>234</v>
      </c>
      <c r="B30" s="190" t="s">
        <v>204</v>
      </c>
      <c r="C30" s="151">
        <v>53703</v>
      </c>
      <c r="D30" s="151" t="s">
        <v>229</v>
      </c>
      <c r="E30" s="152">
        <v>2.35E-05</v>
      </c>
    </row>
    <row r="31" spans="1:5" ht="12.75">
      <c r="A31" s="151" t="s">
        <v>230</v>
      </c>
      <c r="B31" s="190" t="s">
        <v>205</v>
      </c>
      <c r="C31" s="151">
        <v>100414</v>
      </c>
      <c r="D31" s="151" t="s">
        <v>229</v>
      </c>
      <c r="E31" s="152">
        <v>0.0179</v>
      </c>
    </row>
    <row r="32" spans="1:5" ht="12.75">
      <c r="A32" s="151" t="s">
        <v>234</v>
      </c>
      <c r="B32" s="190" t="s">
        <v>240</v>
      </c>
      <c r="C32" s="151">
        <v>206440</v>
      </c>
      <c r="D32" s="151" t="s">
        <v>232</v>
      </c>
      <c r="E32" s="152">
        <v>4.32E-05</v>
      </c>
    </row>
    <row r="33" spans="1:5" ht="12.75">
      <c r="A33" s="151" t="s">
        <v>234</v>
      </c>
      <c r="B33" s="190" t="s">
        <v>241</v>
      </c>
      <c r="C33" s="151">
        <v>86737</v>
      </c>
      <c r="D33" s="151" t="s">
        <v>232</v>
      </c>
      <c r="E33" s="152">
        <v>5.8E-05</v>
      </c>
    </row>
    <row r="34" spans="1:5" ht="12.75">
      <c r="A34" s="151" t="s">
        <v>49</v>
      </c>
      <c r="B34" s="190" t="s">
        <v>206</v>
      </c>
      <c r="C34" s="151">
        <v>50000</v>
      </c>
      <c r="D34" s="151" t="s">
        <v>229</v>
      </c>
      <c r="E34" s="152">
        <v>0.917</v>
      </c>
    </row>
    <row r="35" spans="1:5" ht="12.75">
      <c r="A35" s="151" t="s">
        <v>49</v>
      </c>
      <c r="B35" s="190" t="s">
        <v>207</v>
      </c>
      <c r="C35" s="151">
        <v>110543</v>
      </c>
      <c r="D35" s="151" t="s">
        <v>229</v>
      </c>
      <c r="E35" s="152">
        <v>0.259</v>
      </c>
    </row>
    <row r="36" spans="1:5" ht="12.75">
      <c r="A36" s="151" t="s">
        <v>234</v>
      </c>
      <c r="B36" s="190" t="s">
        <v>208</v>
      </c>
      <c r="C36" s="151">
        <v>193395</v>
      </c>
      <c r="D36" s="151" t="s">
        <v>229</v>
      </c>
      <c r="E36" s="152">
        <v>2.35E-05</v>
      </c>
    </row>
    <row r="37" spans="1:5" ht="12.75">
      <c r="A37" s="151" t="s">
        <v>234</v>
      </c>
      <c r="B37" s="190" t="s">
        <v>209</v>
      </c>
      <c r="C37" s="151">
        <v>91203</v>
      </c>
      <c r="D37" s="151" t="s">
        <v>229</v>
      </c>
      <c r="E37" s="152">
        <v>0.00166</v>
      </c>
    </row>
    <row r="38" spans="1:5" ht="12.75">
      <c r="A38" s="151" t="s">
        <v>230</v>
      </c>
      <c r="B38" s="190" t="s">
        <v>242</v>
      </c>
      <c r="C38" s="151">
        <v>198550</v>
      </c>
      <c r="D38" s="151" t="s">
        <v>232</v>
      </c>
      <c r="E38" s="152">
        <v>7E-07</v>
      </c>
    </row>
    <row r="39" spans="1:5" ht="12.75">
      <c r="A39" s="151" t="s">
        <v>234</v>
      </c>
      <c r="B39" s="190" t="s">
        <v>243</v>
      </c>
      <c r="C39" s="151">
        <v>85018</v>
      </c>
      <c r="D39" s="151" t="s">
        <v>232</v>
      </c>
      <c r="E39" s="152">
        <v>0.000313</v>
      </c>
    </row>
    <row r="40" spans="1:5" ht="12.75">
      <c r="A40" s="151" t="s">
        <v>49</v>
      </c>
      <c r="B40" s="190" t="s">
        <v>210</v>
      </c>
      <c r="C40" s="151">
        <v>115071</v>
      </c>
      <c r="D40" s="151" t="s">
        <v>229</v>
      </c>
      <c r="E40" s="152">
        <v>0.771</v>
      </c>
    </row>
    <row r="41" spans="1:5" ht="12.75">
      <c r="A41" s="151" t="s">
        <v>49</v>
      </c>
      <c r="B41" s="190" t="s">
        <v>211</v>
      </c>
      <c r="C41" s="151">
        <v>75569</v>
      </c>
      <c r="D41" s="151" t="s">
        <v>229</v>
      </c>
      <c r="E41" s="152">
        <v>0.0478</v>
      </c>
    </row>
    <row r="42" spans="1:5" ht="12.75">
      <c r="A42" s="151" t="s">
        <v>234</v>
      </c>
      <c r="B42" s="190" t="s">
        <v>244</v>
      </c>
      <c r="C42" s="151">
        <v>129000</v>
      </c>
      <c r="D42" s="151" t="s">
        <v>232</v>
      </c>
      <c r="E42" s="152">
        <v>2.77E-05</v>
      </c>
    </row>
    <row r="43" spans="1:5" ht="12.75">
      <c r="A43" s="151" t="s">
        <v>49</v>
      </c>
      <c r="B43" s="190" t="s">
        <v>212</v>
      </c>
      <c r="C43" s="151">
        <v>108883</v>
      </c>
      <c r="D43" s="151" t="s">
        <v>229</v>
      </c>
      <c r="E43" s="152">
        <v>0.071</v>
      </c>
    </row>
    <row r="44" spans="1:5" ht="12.75">
      <c r="A44" s="151" t="s">
        <v>49</v>
      </c>
      <c r="B44" s="190" t="s">
        <v>213</v>
      </c>
      <c r="C44" s="151">
        <v>1330207</v>
      </c>
      <c r="D44" s="151" t="s">
        <v>229</v>
      </c>
      <c r="E44" s="152">
        <v>0.0261</v>
      </c>
    </row>
    <row r="45" spans="1:5" ht="12.75">
      <c r="A45" s="190"/>
      <c r="B45" s="190"/>
      <c r="C45" s="190"/>
      <c r="D45" s="151"/>
      <c r="E45" s="191"/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&amp;L&amp;6K:\reports\R1350\valley\&amp;F\&amp;A&amp;C&amp;P of &amp;N&amp;R&amp;6&amp;D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Parsons</dc:creator>
  <cp:keywords/>
  <dc:description/>
  <cp:lastModifiedBy>dsasaki</cp:lastModifiedBy>
  <cp:lastPrinted>2000-11-08T22:04:17Z</cp:lastPrinted>
  <dcterms:created xsi:type="dcterms:W3CDTF">2000-10-10T16:56:45Z</dcterms:created>
  <dcterms:modified xsi:type="dcterms:W3CDTF">2014-08-06T18:57:28Z</dcterms:modified>
  <cp:category/>
  <cp:version/>
  <cp:contentType/>
  <cp:contentStatus/>
</cp:coreProperties>
</file>