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340" windowHeight="6792" firstSheet="9" activeTab="11"/>
  </bookViews>
  <sheets>
    <sheet name="Cover Page" sheetId="1" r:id="rId1"/>
    <sheet name="Construction Equip." sheetId="2" r:id="rId2"/>
    <sheet name="Construction Equip. (2)" sheetId="3" r:id="rId3"/>
    <sheet name="Const. Trip Emissions" sheetId="4" r:id="rId4"/>
    <sheet name="Fugitive Vehicle Emissions" sheetId="5" r:id="rId5"/>
    <sheet name="Fugitive Const. Emissions" sheetId="6" r:id="rId6"/>
    <sheet name="Operational Trip" sheetId="7" r:id="rId7"/>
    <sheet name="Operational Fug. Vehicle Emiss." sheetId="8" r:id="rId8"/>
    <sheet name="140MMBTU Calcs" sheetId="9" r:id="rId9"/>
    <sheet name="Tank Report Page 1" sheetId="10" r:id="rId10"/>
    <sheet name="Tank Report Page 2" sheetId="11" r:id="rId11"/>
    <sheet name="Tank Report Page 3" sheetId="12" r:id="rId12"/>
  </sheets>
  <externalReferences>
    <externalReference r:id="rId15"/>
    <externalReference r:id="rId16"/>
    <externalReference r:id="rId17"/>
  </externalReferences>
  <definedNames>
    <definedName name="baselinetanks">'[1]Baseline Tank VOCs'!$A$1:$BS$42</definedName>
    <definedName name="CH4MW">#REF!</definedName>
    <definedName name="CO2MW">#REF!</definedName>
    <definedName name="COMW">#REF!</definedName>
    <definedName name="H2OMW">#REF!</definedName>
    <definedName name="N2MW">#REF!</definedName>
    <definedName name="NO2MW">#REF!</definedName>
    <definedName name="O2MW">#REF!</definedName>
    <definedName name="PM10MW">#REF!</definedName>
    <definedName name="postprojectefrtanks">'[1]Post Project Tanks - EFR'!$A$1:$BS$28</definedName>
    <definedName name="postprojectfixedtanks">'[1]Post Project Tanks - Fixed'!$A$1:$BS$11</definedName>
    <definedName name="_xlnm.Print_Area" localSheetId="8">'140MMBTU Calcs'!$A$1:$J$79</definedName>
    <definedName name="_xlnm.Print_Area" localSheetId="3">'Const. Trip Emissions'!$A$1:$L$35</definedName>
    <definedName name="_xlnm.Print_Area" localSheetId="6">'Operational Trip'!$A$1:$L$35</definedName>
    <definedName name="SO2MW">#REF!</definedName>
    <definedName name="stackflow56h1">'[2]Combustion Source Test Data'!#REF!</definedName>
    <definedName name="Tank_Emissions_Data">'[3]Tank Summary'!$A$1:$Q$42</definedName>
    <definedName name="VOCMW">#REF!</definedName>
  </definedNames>
  <calcPr fullCalcOnLoad="1"/>
</workbook>
</file>

<file path=xl/sharedStrings.xml><?xml version="1.0" encoding="utf-8"?>
<sst xmlns="http://schemas.openxmlformats.org/spreadsheetml/2006/main" count="462" uniqueCount="255">
  <si>
    <t>Equipment Type</t>
  </si>
  <si>
    <t xml:space="preserve">Hours </t>
  </si>
  <si>
    <t>Emission Factors lb/hr</t>
  </si>
  <si>
    <t>Daily Emissions (lbs/day)</t>
  </si>
  <si>
    <t>Number #</t>
  </si>
  <si>
    <t>Per Day</t>
  </si>
  <si>
    <t>CO</t>
  </si>
  <si>
    <t>VOC</t>
  </si>
  <si>
    <t>NOx</t>
  </si>
  <si>
    <t>PM10</t>
  </si>
  <si>
    <t>Total Emission Totals</t>
  </si>
  <si>
    <t>On Road Mobile Emission Factors from California ARB EMFAC2000</t>
  </si>
  <si>
    <t>Vehicle Type</t>
  </si>
  <si>
    <t>Exhaust Emissions Factor (g/mile)</t>
  </si>
  <si>
    <t>Continuous Start EF (g/trip)</t>
  </si>
  <si>
    <t>Exhaust Emission Factor (g/mile)</t>
  </si>
  <si>
    <t>Hot Soak Factor (g/trip)</t>
  </si>
  <si>
    <t>Diurmal &amp; Resting Losses (g/hr)</t>
  </si>
  <si>
    <t>Evap Running Losses (g/mile)</t>
  </si>
  <si>
    <t>Emission Factor (g/mile)</t>
  </si>
  <si>
    <t>Construction Workers Commuting</t>
  </si>
  <si>
    <t>Light Duty Trucks</t>
  </si>
  <si>
    <t>Heavy Diesel Trucks</t>
  </si>
  <si>
    <t>NA</t>
  </si>
  <si>
    <t>Parameters</t>
  </si>
  <si>
    <t>Peak Day Emissions, lbs/day</t>
  </si>
  <si>
    <t>Number of Vehicles</t>
  </si>
  <si>
    <t>Total Number of Trips</t>
  </si>
  <si>
    <t>Distance Traveled In Miles</t>
  </si>
  <si>
    <t>Source</t>
  </si>
  <si>
    <t xml:space="preserve">Exhaust Emissions </t>
  </si>
  <si>
    <t>Continuous Start Emissions</t>
  </si>
  <si>
    <t xml:space="preserve">Exhaust &amp; Running Emission </t>
  </si>
  <si>
    <t>Other VOC Emissions</t>
  </si>
  <si>
    <t>Diurnal and Resting Loss Emissions</t>
  </si>
  <si>
    <t xml:space="preserve">Exhaust Emission </t>
  </si>
  <si>
    <t xml:space="preserve">Emission </t>
  </si>
  <si>
    <t xml:space="preserve">Construction Workers Commuting </t>
  </si>
  <si>
    <t>Daily Delivery Trucks</t>
  </si>
  <si>
    <t xml:space="preserve">Total Emissions for Construction Workers Commuting </t>
  </si>
  <si>
    <t>Total Emissions for Light Duty Trucks</t>
  </si>
  <si>
    <t>Total Emissions for Heavy Diesel Trucks</t>
  </si>
  <si>
    <t>Total Trip Emissions</t>
  </si>
  <si>
    <t>Emission factors for light duty trucks include trucks have non-catalyst/gasoline, catalyst/gasoline engines, and diesel engines</t>
  </si>
  <si>
    <t>Diurnal &amp; Resting losses vehicle ROG emission based on the vehicle being not being operated and the ambient temperature is rising</t>
  </si>
  <si>
    <t>Based on California ARB EMFAC2000 model years 1965-2001, state-wide annual simple averages</t>
  </si>
  <si>
    <t>EMFAC2000 was finalized in May 2000</t>
  </si>
  <si>
    <t>MRBWORD:1936:Construction Equipment Emissions:Const. Trip Emissions revised</t>
  </si>
  <si>
    <t xml:space="preserve"> Fugitive Dust Construction Emission Estimates</t>
  </si>
  <si>
    <t>From Trucks and Employee Vehicles</t>
  </si>
  <si>
    <t>Source Type</t>
  </si>
  <si>
    <t xml:space="preserve">Number </t>
  </si>
  <si>
    <t>Fuel</t>
  </si>
  <si>
    <t>Peak Daily Trips</t>
  </si>
  <si>
    <t>One-way Distance</t>
  </si>
  <si>
    <t>Emission Factor (lb/vmt)</t>
  </si>
  <si>
    <t>Peak     PM-10 (lbs/day)</t>
  </si>
  <si>
    <t>Passenger Vehicle/</t>
  </si>
  <si>
    <t>On Paved Roadways</t>
  </si>
  <si>
    <t>Gasoline</t>
  </si>
  <si>
    <t>Trucks on Paved Roadways</t>
  </si>
  <si>
    <t>Diesel</t>
  </si>
  <si>
    <t>Trucks on Unpaved Roads</t>
  </si>
  <si>
    <t>Total</t>
  </si>
  <si>
    <t>Average Pieces of Equipment Operating</t>
  </si>
  <si>
    <t>Peak Pieces of Equipment Operating</t>
  </si>
  <si>
    <t>Hours of Operation</t>
  </si>
  <si>
    <t>PM10 Emission Factor (lb/hour)</t>
  </si>
  <si>
    <t>Water Control Factor</t>
  </si>
  <si>
    <t>Controlled Emissions</t>
  </si>
  <si>
    <t>Uncontrolled Emissions</t>
  </si>
  <si>
    <t>SCAQMD Emission Factor Source</t>
  </si>
  <si>
    <t>Average PM10 Emissions (lbs/day)</t>
  </si>
  <si>
    <t>Peak PM10 Emissions (lbs/day</t>
  </si>
  <si>
    <t>Grading Operations</t>
  </si>
  <si>
    <t>Construction Activities</t>
  </si>
  <si>
    <t>Table A9-9-F</t>
  </si>
  <si>
    <t>TRENCHING OPERATIONS (Backhoe)</t>
  </si>
  <si>
    <t>TEMPORARY STOCKPILES</t>
  </si>
  <si>
    <t>Average Tons of Materials Handled Per Day</t>
  </si>
  <si>
    <t>Peak    Tons of Materials Handled  Per Day</t>
  </si>
  <si>
    <t>PM-10 Emission Factor (lb/ton)</t>
  </si>
  <si>
    <t>Average   PM-10 Emissions Pounds/day</t>
  </si>
  <si>
    <t>Peak PM-10 Emissions Pounds/day</t>
  </si>
  <si>
    <t>Peak      PM-10 Emissions Pounds/day</t>
  </si>
  <si>
    <t>Assumptions:</t>
  </si>
  <si>
    <t>1cubic yard trench spoils = 1 ton</t>
  </si>
  <si>
    <t xml:space="preserve">WIND EROSION Disturbed Area and Temporary Stockpiles                                        </t>
  </si>
  <si>
    <t>Average Acreage Disturbed Per Day</t>
  </si>
  <si>
    <t>Peak Acreage Disturbed Per Day</t>
  </si>
  <si>
    <t>PM-10 Emission Factor (lb/day/acre)</t>
  </si>
  <si>
    <t>Peak        PM-10 Emissions Pounds/day</t>
  </si>
  <si>
    <t>Average   PM-10 Emissions Tons/Year</t>
  </si>
  <si>
    <t>Peak      PM-10 Emissions Tons/Year</t>
  </si>
  <si>
    <t>Table A9-9-E</t>
  </si>
  <si>
    <t>TOTAL PM-10 Pounds/day</t>
  </si>
  <si>
    <t>Average</t>
  </si>
  <si>
    <t>Peak</t>
  </si>
  <si>
    <t>(Controlled Emissions)</t>
  </si>
  <si>
    <t>Construction</t>
  </si>
  <si>
    <t>(Uncontrolled Emissions)</t>
  </si>
  <si>
    <t xml:space="preserve"> </t>
  </si>
  <si>
    <t>Demolition and Grading</t>
  </si>
  <si>
    <t>Construction of Foundations</t>
  </si>
  <si>
    <t>Equipment Installation</t>
  </si>
  <si>
    <t>SOx</t>
  </si>
  <si>
    <r>
      <t>Heavy Diesel Trucks</t>
    </r>
    <r>
      <rPr>
        <vertAlign val="superscript"/>
        <sz val="10"/>
        <rFont val="Arial"/>
        <family val="2"/>
      </rPr>
      <t>(1)</t>
    </r>
  </si>
  <si>
    <t>(1) Emissions associated with water trucks which remain on-site.</t>
  </si>
  <si>
    <t>lb/vmt = pounds per vehicle mile travelled.</t>
  </si>
  <si>
    <t>* Emission Calculations for travel on paved roads from EPA AP-42 Section 13.2.1</t>
  </si>
  <si>
    <r>
      <t>E = k(sL/2)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 xml:space="preserve">1.5  </t>
    </r>
  </si>
  <si>
    <t>Where:  k = 0.016 lb/VMT for PM10, sL = road silt loading (gms/m2) from CARB Methodology 7.9 for paved roads</t>
  </si>
  <si>
    <t xml:space="preserve">(0.240 for local roads and 0.037 for major/collector roads), W = weight of vehicles (2.4 tons for cars; 5 for pickup trucks, </t>
  </si>
  <si>
    <t>and 20 for heavy trucks)</t>
  </si>
  <si>
    <t>**Emission Calculations for travel on unpaved roads from EPA AP-42 Section 13.2.2</t>
  </si>
  <si>
    <r>
      <t>E = 2.6(s/12)</t>
    </r>
    <r>
      <rPr>
        <vertAlign val="superscript"/>
        <sz val="8"/>
        <rFont val="Arial"/>
        <family val="2"/>
      </rPr>
      <t>0.8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>0.4</t>
    </r>
    <r>
      <rPr>
        <sz val="8"/>
        <rFont val="Arial"/>
        <family val="2"/>
      </rPr>
      <t>/(M/0.2)</t>
    </r>
    <r>
      <rPr>
        <vertAlign val="superscript"/>
        <sz val="8"/>
        <rFont val="Arial"/>
        <family val="2"/>
      </rPr>
      <t xml:space="preserve">0.3  </t>
    </r>
  </si>
  <si>
    <t xml:space="preserve">Where:  s = surface silt content (assumed to be 11%, AP-42 Table 13.2.2-1), W = vehicle weight (tons) same assumptions as above, and </t>
  </si>
  <si>
    <t>M = material moisture content (assumed to be 10 percent since these emissions would only come from a water truck watering the site).</t>
  </si>
  <si>
    <t>Paramount Construction Emissions</t>
  </si>
  <si>
    <t xml:space="preserve">  Fugitive Dust Emissions During Site Preparation </t>
  </si>
  <si>
    <t xml:space="preserve"> Fugitive Dust Emission Estimates</t>
  </si>
  <si>
    <t>N:2061:Construction - Construction Equip.</t>
  </si>
  <si>
    <t>N:2061:Construction - Construction Equip.(2)</t>
  </si>
  <si>
    <t>N:2061:Construction - Const. Trip Emissions</t>
  </si>
  <si>
    <t>N:2061:Construction - Fugitive Vehicle Emissions</t>
  </si>
  <si>
    <t>N:2061:Construction - Fugitive Const. Emissions</t>
  </si>
  <si>
    <t>N:2061:Construction - Operational Trip</t>
  </si>
  <si>
    <t>N:2061:Construction - Operational Fug. Vehicle Emiss.</t>
  </si>
  <si>
    <t>Hp</t>
  </si>
  <si>
    <t>-</t>
  </si>
  <si>
    <r>
      <t>Front End Loader</t>
    </r>
    <r>
      <rPr>
        <vertAlign val="superscript"/>
        <sz val="10"/>
        <rFont val="Arial"/>
        <family val="2"/>
      </rPr>
      <t>(1)</t>
    </r>
  </si>
  <si>
    <t xml:space="preserve">(2)  Emissions factors from SCAQMD CEQA Air Quality Handbook, Table 9-8-C  </t>
  </si>
  <si>
    <r>
      <t>Motor Grader</t>
    </r>
    <r>
      <rPr>
        <vertAlign val="superscript"/>
        <sz val="10"/>
        <rFont val="Arial"/>
        <family val="2"/>
      </rPr>
      <t>(1)</t>
    </r>
  </si>
  <si>
    <r>
      <t>Excavator</t>
    </r>
    <r>
      <rPr>
        <vertAlign val="superscript"/>
        <sz val="10"/>
        <rFont val="Arial"/>
        <family val="2"/>
      </rPr>
      <t>(2)</t>
    </r>
  </si>
  <si>
    <r>
      <t>Plate Compactor</t>
    </r>
    <r>
      <rPr>
        <vertAlign val="superscript"/>
        <sz val="10"/>
        <rFont val="Arial"/>
        <family val="2"/>
      </rPr>
      <t>(2)</t>
    </r>
  </si>
  <si>
    <r>
      <t>Dozer</t>
    </r>
    <r>
      <rPr>
        <vertAlign val="superscript"/>
        <sz val="10"/>
        <rFont val="Arial"/>
        <family val="2"/>
      </rPr>
      <t>(2)</t>
    </r>
  </si>
  <si>
    <r>
      <t>Concrete Pump</t>
    </r>
    <r>
      <rPr>
        <vertAlign val="superscript"/>
        <sz val="10"/>
        <rFont val="Arial"/>
        <family val="2"/>
      </rPr>
      <t>(2)</t>
    </r>
  </si>
  <si>
    <r>
      <t>Paver</t>
    </r>
    <r>
      <rPr>
        <vertAlign val="superscript"/>
        <sz val="10"/>
        <rFont val="Arial"/>
        <family val="2"/>
      </rPr>
      <t>(2)</t>
    </r>
  </si>
  <si>
    <r>
      <t>Drum Roller</t>
    </r>
    <r>
      <rPr>
        <vertAlign val="superscript"/>
        <sz val="10"/>
        <rFont val="Arial"/>
        <family val="2"/>
      </rPr>
      <t>(1)</t>
    </r>
  </si>
  <si>
    <t>(1)  Emissions factors from SCAQMD CEQA Air Quality Handbook, Table 9-8-A, horsepower ratings for this equipment was not provided.</t>
  </si>
  <si>
    <r>
      <t xml:space="preserve">Table 9-8-C, </t>
    </r>
    <r>
      <rPr>
        <i/>
        <sz val="8"/>
        <rFont val="Arial"/>
        <family val="2"/>
      </rPr>
      <t>Pounds/hour calculated from hp rating.  Load was assumed to be 100%.</t>
    </r>
  </si>
  <si>
    <t>Demolition and Grading Total</t>
  </si>
  <si>
    <t>Construction of Foundations Total</t>
  </si>
  <si>
    <r>
      <t>Backhoe</t>
    </r>
    <r>
      <rPr>
        <vertAlign val="superscript"/>
        <sz val="10"/>
        <rFont val="Arial"/>
        <family val="2"/>
      </rPr>
      <t>(1)-Loader</t>
    </r>
  </si>
  <si>
    <r>
      <t>Forklift</t>
    </r>
    <r>
      <rPr>
        <vertAlign val="superscript"/>
        <sz val="10"/>
        <rFont val="Arial"/>
        <family val="2"/>
      </rPr>
      <t>(1)</t>
    </r>
  </si>
  <si>
    <r>
      <t>Cranes</t>
    </r>
    <r>
      <rPr>
        <vertAlign val="superscript"/>
        <sz val="10"/>
        <rFont val="Arial"/>
        <family val="2"/>
      </rPr>
      <t>(1) Misc.</t>
    </r>
  </si>
  <si>
    <r>
      <t>Air Compressor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</t>
    </r>
  </si>
  <si>
    <r>
      <t>Trench Machine</t>
    </r>
    <r>
      <rPr>
        <vertAlign val="superscript"/>
        <sz val="10"/>
        <rFont val="Arial"/>
        <family val="2"/>
      </rPr>
      <t>(2)</t>
    </r>
  </si>
  <si>
    <r>
      <t>Weld Machine</t>
    </r>
    <r>
      <rPr>
        <vertAlign val="superscript"/>
        <sz val="10"/>
        <rFont val="Arial"/>
        <family val="2"/>
      </rPr>
      <t>(2)</t>
    </r>
  </si>
  <si>
    <t>(light duty trucks)</t>
  </si>
  <si>
    <t>Peak PM10 Emissions (lbs/day)</t>
  </si>
  <si>
    <t>Days of Construction Per Year</t>
  </si>
  <si>
    <t>Table A9-9G</t>
  </si>
  <si>
    <t>From Operational Trucks and Employee Vehicles</t>
  </si>
  <si>
    <t>Appendix A</t>
  </si>
  <si>
    <t>Emission Calculations</t>
  </si>
  <si>
    <t>Basis:</t>
  </si>
  <si>
    <t>MMBTU/hr</t>
  </si>
  <si>
    <t>BTU/SCF(HHV)</t>
  </si>
  <si>
    <t>Turbine</t>
  </si>
  <si>
    <t>MMBTU/yr</t>
  </si>
  <si>
    <t>MMSCF/hr</t>
  </si>
  <si>
    <t>MMSCF/yr</t>
  </si>
  <si>
    <t>Duct Burner</t>
  </si>
  <si>
    <t>Uncontrolled Criteria Pollutant Emissions</t>
  </si>
  <si>
    <t>Emissions (lb/yr)</t>
  </si>
  <si>
    <t>Emissions (lb/day)</t>
  </si>
  <si>
    <t>Combined Emissions to SCR (lb/yr)</t>
  </si>
  <si>
    <t>Combined Emissions to SCR (lb/day)</t>
  </si>
  <si>
    <t>Methane</t>
  </si>
  <si>
    <t>(1)  Source: AP-42 for Turbines Tables 3.1-1 and 3.2-2a.</t>
  </si>
  <si>
    <t>(2)  Source:  SCAQMD EFB factors for external fired boilers.</t>
  </si>
  <si>
    <t>Criteria Pollutant</t>
  </si>
  <si>
    <t>where:</t>
  </si>
  <si>
    <t>lb/hr</t>
  </si>
  <si>
    <t>=</t>
  </si>
  <si>
    <t>lb/day</t>
  </si>
  <si>
    <t>(2) CO Emissions Calculated assuming 6 ppmv Emitted</t>
  </si>
  <si>
    <t>Using the same equation as for NOx adjust for the difference in molecular weight</t>
  </si>
  <si>
    <t>lbs/hr</t>
  </si>
  <si>
    <t>=&gt;</t>
  </si>
  <si>
    <t>lbs/day</t>
  </si>
  <si>
    <t>Toxic Air Contaminant (TAC) Emissions</t>
  </si>
  <si>
    <t xml:space="preserve">AP-42 Duct Burner </t>
  </si>
  <si>
    <t xml:space="preserve">TAC </t>
  </si>
  <si>
    <t>Combined Emissions (lb/yr)</t>
  </si>
  <si>
    <t>Combined Emissions (lb/day)</t>
  </si>
  <si>
    <t>Combined Emissions (g/s)</t>
  </si>
  <si>
    <t>Emission Factor (lb/mmscf)</t>
  </si>
  <si>
    <t>ACE#</t>
  </si>
  <si>
    <t>URF</t>
  </si>
  <si>
    <t>Combined Emissions (LBS/YR)</t>
  </si>
  <si>
    <t>1,3-Butadiene</t>
  </si>
  <si>
    <t>&lt;4.3E-7</t>
  </si>
  <si>
    <t>NL</t>
  </si>
  <si>
    <t>Acetaldehyde</t>
  </si>
  <si>
    <t>&lt;1.8e-6</t>
  </si>
  <si>
    <t>Acrolein</t>
  </si>
  <si>
    <t>Benzene</t>
  </si>
  <si>
    <t>Ethylbenzene</t>
  </si>
  <si>
    <t>Formaldehyde</t>
  </si>
  <si>
    <t>Naphthalene</t>
  </si>
  <si>
    <t>PAH</t>
  </si>
  <si>
    <t>See Below</t>
  </si>
  <si>
    <t>Propylene Oxide</t>
  </si>
  <si>
    <t>&lt;2.9E-5</t>
  </si>
  <si>
    <t>Toluene</t>
  </si>
  <si>
    <t>Xylenes</t>
  </si>
  <si>
    <t>Hexane</t>
  </si>
  <si>
    <t>Propylene</t>
  </si>
  <si>
    <t>Ammonia</t>
  </si>
  <si>
    <t>Dichlorobenzene</t>
  </si>
  <si>
    <t>3-MethylCholanthrene</t>
  </si>
  <si>
    <t>&lt;1.8E-6</t>
  </si>
  <si>
    <t>7,12Dimethylbenz(a)anthracene</t>
  </si>
  <si>
    <t>&lt;1.6E-6</t>
  </si>
  <si>
    <t>Benz(a)anthracene</t>
  </si>
  <si>
    <t>Benzo(a)pyrene</t>
  </si>
  <si>
    <t>&lt;1.2E-6</t>
  </si>
  <si>
    <t>Benzo(b)fluoranthene</t>
  </si>
  <si>
    <t>Benzo(k)fluoranthene</t>
  </si>
  <si>
    <t>&lt;1.8E-7</t>
  </si>
  <si>
    <t>Chrysene</t>
  </si>
  <si>
    <t>Dibenzo(a,h)anthracene</t>
  </si>
  <si>
    <t>Indeno(1,2,3-cd)pyrene</t>
  </si>
  <si>
    <t>Arsenic</t>
  </si>
  <si>
    <t>Beryllium</t>
  </si>
  <si>
    <t>&lt;1.2E-05</t>
  </si>
  <si>
    <t>Cadmium</t>
  </si>
  <si>
    <t>Copper</t>
  </si>
  <si>
    <t>Manganese</t>
  </si>
  <si>
    <t>Mercury</t>
  </si>
  <si>
    <t>Nickel</t>
  </si>
  <si>
    <t>Vanadium</t>
  </si>
  <si>
    <t>(1)  Source: AP-42 for Turbines Tables 3.1-2b.</t>
  </si>
  <si>
    <t>(2)  Source:  SCAQMD Emission factors for external fired boilers 10 - 100 MMBTUH.</t>
  </si>
  <si>
    <t>(3)  NL = Not Listed</t>
  </si>
  <si>
    <r>
      <t>Emission Factor (lb/MMBTU)</t>
    </r>
    <r>
      <rPr>
        <vertAlign val="superscript"/>
        <sz val="10"/>
        <rFont val="Arial"/>
        <family val="2"/>
      </rPr>
      <t>(1)</t>
    </r>
  </si>
  <si>
    <r>
      <t>Emission Factor (lb/MMCF)</t>
    </r>
    <r>
      <rPr>
        <vertAlign val="superscript"/>
        <sz val="10"/>
        <rFont val="Arial"/>
        <family val="2"/>
      </rPr>
      <t>(2)</t>
    </r>
  </si>
  <si>
    <r>
      <t>NO</t>
    </r>
    <r>
      <rPr>
        <vertAlign val="subscript"/>
        <sz val="10"/>
        <rFont val="Arial"/>
        <family val="2"/>
      </rPr>
      <t>x</t>
    </r>
  </si>
  <si>
    <r>
      <t>SO</t>
    </r>
    <r>
      <rPr>
        <vertAlign val="subscript"/>
        <sz val="10"/>
        <rFont val="Arial"/>
        <family val="2"/>
      </rPr>
      <t>x</t>
    </r>
  </si>
  <si>
    <r>
      <t>NO</t>
    </r>
    <r>
      <rPr>
        <vertAlign val="subscript"/>
        <sz val="10"/>
        <rFont val="Arial"/>
        <family val="2"/>
      </rPr>
      <t>x</t>
    </r>
    <r>
      <rPr>
        <vertAlign val="superscript"/>
        <sz val="10"/>
        <rFont val="Arial"/>
        <family val="2"/>
      </rPr>
      <t>(1)</t>
    </r>
  </si>
  <si>
    <r>
      <t>CO</t>
    </r>
    <r>
      <rPr>
        <vertAlign val="superscript"/>
        <sz val="10"/>
        <rFont val="Arial"/>
        <family val="2"/>
      </rPr>
      <t>(2)</t>
    </r>
  </si>
  <si>
    <r>
      <t>(1) NO</t>
    </r>
    <r>
      <rPr>
        <b/>
        <u val="single"/>
        <vertAlign val="subscript"/>
        <sz val="8"/>
        <rFont val="Arial"/>
        <family val="2"/>
      </rPr>
      <t>2</t>
    </r>
    <r>
      <rPr>
        <b/>
        <u val="single"/>
        <sz val="8"/>
        <rFont val="Arial"/>
        <family val="2"/>
      </rPr>
      <t xml:space="preserve"> Emissions Calculated Using SCAQMD Rule 2012  Attachment A Equation 2 (pg 2012A-2-6 March 16, 2001 revision)</t>
    </r>
  </si>
  <si>
    <r>
      <t>e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= a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x [20.9/(20.9 - b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)] x 1.195E-7 x sum </t>
    </r>
    <r>
      <rPr>
        <vertAlign val="subscript"/>
        <sz val="8"/>
        <rFont val="Arial"/>
        <family val="2"/>
      </rPr>
      <t>all fuels</t>
    </r>
    <r>
      <rPr>
        <sz val="8"/>
        <rFont val="Arial"/>
        <family val="2"/>
      </rPr>
      <t xml:space="preserve"> (F</t>
    </r>
    <r>
      <rPr>
        <vertAlign val="subscript"/>
        <sz val="8"/>
        <rFont val="Arial"/>
        <family val="2"/>
      </rPr>
      <t>ij</t>
    </r>
    <r>
      <rPr>
        <sz val="8"/>
        <rFont val="Arial"/>
        <family val="2"/>
      </rPr>
      <t xml:space="preserve"> x d</t>
    </r>
    <r>
      <rPr>
        <vertAlign val="subscript"/>
        <sz val="8"/>
        <rFont val="Arial"/>
        <family val="2"/>
      </rPr>
      <t>ij</t>
    </r>
    <r>
      <rPr>
        <sz val="8"/>
        <rFont val="Arial"/>
        <family val="2"/>
      </rPr>
      <t xml:space="preserve"> x V</t>
    </r>
    <r>
      <rPr>
        <vertAlign val="subscript"/>
        <sz val="8"/>
        <rFont val="Arial"/>
        <family val="2"/>
      </rPr>
      <t>ij</t>
    </r>
    <r>
      <rPr>
        <sz val="8"/>
        <rFont val="Arial"/>
        <family val="2"/>
      </rPr>
      <t>)</t>
    </r>
  </si>
  <si>
    <r>
      <t>e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= mass emissions of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(lb/hr)</t>
    </r>
  </si>
  <si>
    <r>
      <t>F</t>
    </r>
    <r>
      <rPr>
        <vertAlign val="subscript"/>
        <sz val="8"/>
        <rFont val="Arial"/>
        <family val="2"/>
      </rPr>
      <t>ij</t>
    </r>
    <r>
      <rPr>
        <sz val="8"/>
        <rFont val="Arial"/>
        <family val="2"/>
      </rPr>
      <t xml:space="preserve"> = F factor for each type of fuel, ratio of gas volume products of combustion to heat content of ruel (scf/10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BTU/hr)</t>
    </r>
  </si>
  <si>
    <r>
      <t>a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= stack gas concentration of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(ppmv)</t>
    </r>
  </si>
  <si>
    <r>
      <t>b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= stack gas concentration of 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(%)</t>
    </r>
  </si>
  <si>
    <r>
      <t>d</t>
    </r>
    <r>
      <rPr>
        <vertAlign val="subscript"/>
        <sz val="8"/>
        <rFont val="Arial"/>
        <family val="2"/>
      </rPr>
      <t>ij</t>
    </r>
    <r>
      <rPr>
        <sz val="8"/>
        <rFont val="Arial"/>
        <family val="2"/>
      </rPr>
      <t xml:space="preserve"> = fuel flow rate for each fuel measured every 15-minute period (scf/hr)</t>
    </r>
  </si>
  <si>
    <r>
      <t>V</t>
    </r>
    <r>
      <rPr>
        <vertAlign val="subscript"/>
        <sz val="8"/>
        <rFont val="Arial"/>
        <family val="2"/>
      </rPr>
      <t>ij</t>
    </r>
    <r>
      <rPr>
        <sz val="8"/>
        <rFont val="Arial"/>
        <family val="2"/>
      </rPr>
      <t xml:space="preserve"> = higher heating value of fuel for each type of fuel (MMBTU/scf)</t>
    </r>
  </si>
  <si>
    <r>
      <t>e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= 2.5 x [20.9/(20.9 - 15)] x 1.195E-7 x sum  (8710/10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x 1015 x 140 x 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/1015)</t>
    </r>
  </si>
  <si>
    <r>
      <t>e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= </t>
    </r>
  </si>
  <si>
    <r>
      <t>e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= 6 x [20.9/(20.9 - 15)] x 1.195E-7 x sum  (8710/10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x 1015 x 140 x 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/1015) x 28.01/46.008</t>
    </r>
  </si>
  <si>
    <r>
      <t>NL</t>
    </r>
    <r>
      <rPr>
        <vertAlign val="superscript"/>
        <sz val="10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</si>
</sst>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Helv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bscript"/>
      <sz val="10"/>
      <name val="Arial"/>
      <family val="2"/>
    </font>
    <font>
      <b/>
      <u val="single"/>
      <vertAlign val="subscript"/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/>
      <top style="thick"/>
      <bottom/>
    </border>
    <border>
      <left/>
      <right style="thick"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/>
    </border>
    <border>
      <left style="thick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double"/>
    </border>
    <border>
      <left/>
      <right style="thick"/>
      <top/>
      <bottom style="double"/>
    </border>
    <border>
      <left style="thin"/>
      <right style="thin"/>
      <top style="medium"/>
      <bottom style="double"/>
    </border>
    <border>
      <left/>
      <right style="thick"/>
      <top style="medium"/>
      <bottom style="double"/>
    </border>
    <border>
      <left style="thin"/>
      <right style="thin"/>
      <top style="double"/>
      <bottom style="thick"/>
    </border>
    <border>
      <left style="thin"/>
      <right style="thin"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3" fillId="33" borderId="24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4" fillId="34" borderId="24" xfId="0" applyFont="1" applyFill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8" fillId="0" borderId="47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8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50" xfId="0" applyFont="1" applyBorder="1" applyAlignment="1">
      <alignment wrapText="1"/>
    </xf>
    <xf numFmtId="2" fontId="0" fillId="0" borderId="48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2" fontId="0" fillId="0" borderId="39" xfId="0" applyNumberFormat="1" applyBorder="1" applyAlignment="1">
      <alignment horizontal="center"/>
    </xf>
    <xf numFmtId="2" fontId="0" fillId="0" borderId="48" xfId="0" applyNumberFormat="1" applyBorder="1" applyAlignment="1">
      <alignment/>
    </xf>
    <xf numFmtId="0" fontId="0" fillId="0" borderId="37" xfId="0" applyBorder="1" applyAlignment="1">
      <alignment wrapText="1"/>
    </xf>
    <xf numFmtId="0" fontId="0" fillId="0" borderId="38" xfId="0" applyBorder="1" applyAlignment="1">
      <alignment/>
    </xf>
    <xf numFmtId="14" fontId="0" fillId="0" borderId="0" xfId="0" applyNumberFormat="1" applyAlignment="1">
      <alignment/>
    </xf>
    <xf numFmtId="0" fontId="0" fillId="0" borderId="39" xfId="0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45" xfId="0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44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6" xfId="0" applyBorder="1" applyAlignment="1">
      <alignment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53" xfId="0" applyFont="1" applyBorder="1" applyAlignment="1">
      <alignment horizontal="left"/>
    </xf>
    <xf numFmtId="0" fontId="0" fillId="0" borderId="53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8" xfId="0" applyBorder="1" applyAlignment="1">
      <alignment horizontal="right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wrapText="1"/>
    </xf>
    <xf numFmtId="0" fontId="0" fillId="0" borderId="5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5" xfId="0" applyNumberFormat="1" applyBorder="1" applyAlignment="1">
      <alignment/>
    </xf>
    <xf numFmtId="164" fontId="0" fillId="0" borderId="55" xfId="0" applyNumberFormat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right"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6" xfId="0" applyBorder="1" applyAlignment="1">
      <alignment/>
    </xf>
    <xf numFmtId="0" fontId="0" fillId="0" borderId="28" xfId="0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0" fontId="11" fillId="0" borderId="0" xfId="0" applyFont="1" applyAlignment="1">
      <alignment/>
    </xf>
    <xf numFmtId="0" fontId="0" fillId="0" borderId="19" xfId="0" applyBorder="1" applyAlignment="1" quotePrefix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8" xfId="0" applyBorder="1" applyAlignment="1" quotePrefix="1">
      <alignment horizontal="center"/>
    </xf>
    <xf numFmtId="164" fontId="0" fillId="0" borderId="28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59" xfId="0" applyNumberFormat="1" applyBorder="1" applyAlignment="1">
      <alignment/>
    </xf>
    <xf numFmtId="164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44" xfId="0" applyBorder="1" applyAlignment="1">
      <alignment horizontal="center"/>
    </xf>
    <xf numFmtId="0" fontId="12" fillId="0" borderId="0" xfId="0" applyFont="1" applyAlignment="1">
      <alignment/>
    </xf>
    <xf numFmtId="0" fontId="13" fillId="0" borderId="53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63" xfId="0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9" xfId="0" applyBorder="1" applyAlignment="1">
      <alignment wrapText="1"/>
    </xf>
    <xf numFmtId="11" fontId="0" fillId="0" borderId="28" xfId="0" applyNumberFormat="1" applyBorder="1" applyAlignment="1">
      <alignment horizontal="right"/>
    </xf>
    <xf numFmtId="2" fontId="0" fillId="0" borderId="28" xfId="0" applyNumberFormat="1" applyBorder="1" applyAlignment="1">
      <alignment/>
    </xf>
    <xf numFmtId="2" fontId="0" fillId="0" borderId="19" xfId="0" applyNumberFormat="1" applyBorder="1" applyAlignment="1">
      <alignment/>
    </xf>
    <xf numFmtId="11" fontId="0" fillId="0" borderId="28" xfId="0" applyNumberFormat="1" applyBorder="1" applyAlignment="1">
      <alignment/>
    </xf>
    <xf numFmtId="0" fontId="0" fillId="0" borderId="0" xfId="0" applyAlignment="1" quotePrefix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center"/>
    </xf>
    <xf numFmtId="2" fontId="5" fillId="0" borderId="0" xfId="0" applyNumberFormat="1" applyFont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 horizontal="center"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9" xfId="0" applyFont="1" applyBorder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0" fontId="0" fillId="0" borderId="0" xfId="0" applyNumberFormat="1" applyBorder="1" applyAlignment="1">
      <alignment/>
    </xf>
    <xf numFmtId="11" fontId="0" fillId="0" borderId="28" xfId="0" applyNumberFormat="1" applyBorder="1" applyAlignment="1">
      <alignment horizontal="center"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2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0" fillId="0" borderId="44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/>
    </xf>
    <xf numFmtId="2" fontId="0" fillId="0" borderId="46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53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45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5" xfId="0" applyFont="1" applyBorder="1" applyAlignment="1">
      <alignment wrapText="1"/>
    </xf>
    <xf numFmtId="0" fontId="0" fillId="0" borderId="49" xfId="0" applyBorder="1" applyAlignment="1">
      <alignment/>
    </xf>
    <xf numFmtId="0" fontId="0" fillId="0" borderId="46" xfId="0" applyBorder="1" applyAlignment="1">
      <alignment wrapText="1"/>
    </xf>
    <xf numFmtId="0" fontId="0" fillId="0" borderId="53" xfId="0" applyBorder="1" applyAlignment="1">
      <alignment/>
    </xf>
    <xf numFmtId="0" fontId="0" fillId="0" borderId="40" xfId="0" applyBorder="1" applyAlignment="1">
      <alignment wrapText="1"/>
    </xf>
    <xf numFmtId="0" fontId="0" fillId="0" borderId="54" xfId="0" applyBorder="1" applyAlignment="1">
      <alignment/>
    </xf>
    <xf numFmtId="0" fontId="8" fillId="0" borderId="0" xfId="0" applyFont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47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0" fillId="0" borderId="48" xfId="0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5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nkCalx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</xdr:row>
      <xdr:rowOff>85725</xdr:rowOff>
    </xdr:from>
    <xdr:to>
      <xdr:col>13</xdr:col>
      <xdr:colOff>571500</xdr:colOff>
      <xdr:row>43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33425"/>
          <a:ext cx="8458200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14</xdr:col>
      <xdr:colOff>0</xdr:colOff>
      <xdr:row>42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8534400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581025</xdr:colOff>
      <xdr:row>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505825" cy="647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rb\1936\POST%20PROJECT%20HRA\Project%20Emis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WINDOWS/TEMP/CALCS_ab2588_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rb\1936\Ta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issions Imported to Access_1"/>
      <sheetName val="Emissions Imported to Access_2"/>
      <sheetName val="Max Hourly_Marsha"/>
      <sheetName val="Speciation"/>
      <sheetName val="Summary"/>
      <sheetName val="Process Rates"/>
      <sheetName val="Tail Gas Vent"/>
      <sheetName val="H_B - Process Data"/>
      <sheetName val="Combustion Source Test Data"/>
      <sheetName val="Flare Flow Data"/>
      <sheetName val="Combustion"/>
      <sheetName val="Coke Drum"/>
      <sheetName val="Fuel Dispensing"/>
      <sheetName val="Maintenance"/>
      <sheetName val="tank VOC summary"/>
      <sheetName val="tanks dbf"/>
      <sheetName val="Fixed Roof Tanks"/>
      <sheetName val="External Floating Roof Tanks"/>
      <sheetName val="Bulk Loading"/>
      <sheetName val="Drains"/>
      <sheetName val="Fugitives"/>
      <sheetName val="Lab Backup Data"/>
      <sheetName val="Lab"/>
      <sheetName val="IC Engines"/>
      <sheetName val="Cooling Tower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16"/>
  <sheetViews>
    <sheetView zoomScalePageLayoutView="0" workbookViewId="0" topLeftCell="A1">
      <selection activeCell="C12" sqref="C12"/>
    </sheetView>
  </sheetViews>
  <sheetFormatPr defaultColWidth="9.140625" defaultRowHeight="12.75"/>
  <sheetData>
    <row r="14" spans="1:9" ht="17.25" customHeight="1" thickBot="1">
      <c r="A14" s="138" t="s">
        <v>154</v>
      </c>
      <c r="B14" s="110"/>
      <c r="C14" s="110"/>
      <c r="D14" s="110"/>
      <c r="E14" s="110"/>
      <c r="F14" s="110"/>
      <c r="G14" s="110"/>
      <c r="H14" s="110"/>
      <c r="I14" s="110"/>
    </row>
    <row r="16" ht="15">
      <c r="A16" s="137" t="s">
        <v>155</v>
      </c>
    </row>
  </sheetData>
  <sheetProtection/>
  <printOptions/>
  <pageMargins left="0.75" right="0.75" top="1" bottom="1" header="0.5" footer="0.5"/>
  <pageSetup horizontalDpi="400" verticalDpi="4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8">
      <selection activeCell="A1" sqref="A1"/>
    </sheetView>
  </sheetViews>
  <sheetFormatPr defaultColWidth="9.140625" defaultRowHeight="12.75"/>
  <sheetData/>
  <sheetProtection/>
  <printOptions/>
  <pageMargins left="0.25" right="0.25" top="0.25" bottom="0.25" header="0.5" footer="0.5"/>
  <pageSetup horizontalDpi="400" verticalDpi="4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25" right="0.25" top="0.25" bottom="0.25" header="0.5" footer="0.5"/>
  <pageSetup horizontalDpi="400" verticalDpi="4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30">
      <selection activeCell="J12" sqref="J12"/>
    </sheetView>
  </sheetViews>
  <sheetFormatPr defaultColWidth="9.140625" defaultRowHeight="12.75"/>
  <sheetData/>
  <sheetProtection/>
  <printOptions/>
  <pageMargins left="0.25" right="0.15" top="0.25" bottom="0.25" header="0.5" footer="0.5"/>
  <pageSetup horizontalDpi="400" verticalDpi="4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J1">
      <selection activeCell="A18" sqref="A18:F18"/>
    </sheetView>
  </sheetViews>
  <sheetFormatPr defaultColWidth="9.140625" defaultRowHeight="12.75"/>
  <cols>
    <col min="1" max="1" width="28.7109375" style="0" customWidth="1"/>
  </cols>
  <sheetData>
    <row r="1" spans="1:14" ht="13.5" thickTop="1">
      <c r="A1" s="1" t="s">
        <v>0</v>
      </c>
      <c r="B1" s="2"/>
      <c r="C1" s="2"/>
      <c r="D1" s="2" t="s">
        <v>1</v>
      </c>
      <c r="E1" s="3"/>
      <c r="F1" s="4" t="s">
        <v>2</v>
      </c>
      <c r="G1" s="4"/>
      <c r="H1" s="5"/>
      <c r="I1" s="6"/>
      <c r="J1" s="7"/>
      <c r="K1" s="4" t="s">
        <v>3</v>
      </c>
      <c r="L1" s="8"/>
      <c r="M1" s="9"/>
      <c r="N1" s="10"/>
    </row>
    <row r="2" spans="1:14" ht="13.5" thickBot="1">
      <c r="A2" s="11" t="s">
        <v>102</v>
      </c>
      <c r="B2" s="127" t="s">
        <v>4</v>
      </c>
      <c r="C2" s="128" t="s">
        <v>128</v>
      </c>
      <c r="D2" s="13" t="s">
        <v>5</v>
      </c>
      <c r="E2" s="14" t="s">
        <v>6</v>
      </c>
      <c r="F2" s="14" t="s">
        <v>7</v>
      </c>
      <c r="G2" s="14" t="s">
        <v>8</v>
      </c>
      <c r="H2" s="14" t="s">
        <v>105</v>
      </c>
      <c r="I2" s="15" t="s">
        <v>9</v>
      </c>
      <c r="J2" s="16" t="s">
        <v>6</v>
      </c>
      <c r="K2" s="14" t="s">
        <v>7</v>
      </c>
      <c r="L2" s="14" t="s">
        <v>8</v>
      </c>
      <c r="M2" s="14" t="s">
        <v>105</v>
      </c>
      <c r="N2" s="17" t="s">
        <v>9</v>
      </c>
    </row>
    <row r="3" spans="1:14" ht="15.75" thickTop="1">
      <c r="A3" s="23" t="s">
        <v>133</v>
      </c>
      <c r="B3" s="20">
        <v>1</v>
      </c>
      <c r="C3" s="20">
        <v>56</v>
      </c>
      <c r="D3" s="20">
        <v>4</v>
      </c>
      <c r="E3" s="24">
        <v>0.62</v>
      </c>
      <c r="F3" s="24">
        <v>0.06</v>
      </c>
      <c r="G3" s="24">
        <v>1.34</v>
      </c>
      <c r="H3" s="24">
        <v>0.11</v>
      </c>
      <c r="I3" s="25">
        <v>0.08</v>
      </c>
      <c r="J3" s="18">
        <f>B3*D3*E3</f>
        <v>2.48</v>
      </c>
      <c r="K3" s="19">
        <f>B3*D3*F3</f>
        <v>0.24</v>
      </c>
      <c r="L3" s="19">
        <f>B3*D3*G3</f>
        <v>5.36</v>
      </c>
      <c r="M3" s="19">
        <f>B3*D3*H3</f>
        <v>0.44</v>
      </c>
      <c r="N3" s="22">
        <f>B3*D3*I3</f>
        <v>0.32</v>
      </c>
    </row>
    <row r="4" spans="1:14" ht="15">
      <c r="A4" s="23" t="s">
        <v>134</v>
      </c>
      <c r="B4" s="122">
        <v>1</v>
      </c>
      <c r="C4" s="20">
        <v>8</v>
      </c>
      <c r="D4" s="20">
        <v>4</v>
      </c>
      <c r="E4" s="24">
        <v>0.06</v>
      </c>
      <c r="F4" s="24">
        <v>0.02</v>
      </c>
      <c r="G4" s="24">
        <v>0.16</v>
      </c>
      <c r="H4" s="24">
        <v>0.02</v>
      </c>
      <c r="I4" s="25">
        <v>0.01</v>
      </c>
      <c r="J4" s="18">
        <f>B4*D4*E4</f>
        <v>0.24</v>
      </c>
      <c r="K4" s="19">
        <f>B4*D4*F4</f>
        <v>0.08</v>
      </c>
      <c r="L4" s="19">
        <f>B4*D4*G4</f>
        <v>0.64</v>
      </c>
      <c r="M4" s="19">
        <f>B4*D4*H4</f>
        <v>0.08</v>
      </c>
      <c r="N4" s="22">
        <f>B4*D4*I4</f>
        <v>0.04</v>
      </c>
    </row>
    <row r="5" spans="1:14" ht="15">
      <c r="A5" s="23" t="s">
        <v>135</v>
      </c>
      <c r="B5" s="122">
        <v>1</v>
      </c>
      <c r="C5" s="20">
        <v>95</v>
      </c>
      <c r="D5" s="20">
        <v>4</v>
      </c>
      <c r="E5" s="24">
        <v>0.95</v>
      </c>
      <c r="F5" s="24">
        <v>0.19</v>
      </c>
      <c r="G5" s="24">
        <v>1.995</v>
      </c>
      <c r="H5" s="24">
        <v>0.19</v>
      </c>
      <c r="I5" s="25">
        <v>0.0475</v>
      </c>
      <c r="J5" s="18">
        <f>B5*D5*E5</f>
        <v>3.8</v>
      </c>
      <c r="K5" s="19">
        <f>B5*D5*F5</f>
        <v>0.76</v>
      </c>
      <c r="L5" s="19">
        <f>B5*D5*G5</f>
        <v>7.98</v>
      </c>
      <c r="M5" s="19">
        <f>B5*D5*H5</f>
        <v>0.76</v>
      </c>
      <c r="N5" s="22">
        <f>B5*D5*I5</f>
        <v>0.19</v>
      </c>
    </row>
    <row r="6" spans="1:14" ht="15">
      <c r="A6" s="23" t="s">
        <v>132</v>
      </c>
      <c r="B6" s="122">
        <v>1</v>
      </c>
      <c r="C6" s="126" t="s">
        <v>129</v>
      </c>
      <c r="D6" s="20">
        <v>4</v>
      </c>
      <c r="E6" s="24">
        <v>0.51</v>
      </c>
      <c r="F6" s="24">
        <v>0.039</v>
      </c>
      <c r="G6" s="24">
        <v>0.715</v>
      </c>
      <c r="H6" s="24">
        <v>0.086</v>
      </c>
      <c r="I6" s="25">
        <v>0.061</v>
      </c>
      <c r="J6" s="18">
        <f>B6*D6*E6</f>
        <v>2.04</v>
      </c>
      <c r="K6" s="19">
        <f>B6*D6*F6</f>
        <v>0.156</v>
      </c>
      <c r="L6" s="19">
        <f>B6*D6*G6</f>
        <v>2.86</v>
      </c>
      <c r="M6" s="19">
        <f>B6*D6*H6</f>
        <v>0.344</v>
      </c>
      <c r="N6" s="22">
        <f>B6*D6*I6</f>
        <v>0.244</v>
      </c>
    </row>
    <row r="7" spans="1:14" ht="15">
      <c r="A7" s="23" t="s">
        <v>130</v>
      </c>
      <c r="B7" s="122">
        <v>1</v>
      </c>
      <c r="C7" s="129" t="s">
        <v>129</v>
      </c>
      <c r="D7" s="20">
        <v>4</v>
      </c>
      <c r="E7" s="24">
        <v>0.572</v>
      </c>
      <c r="F7" s="24">
        <v>0.23</v>
      </c>
      <c r="G7" s="24">
        <v>1.9</v>
      </c>
      <c r="H7" s="24">
        <v>0.182</v>
      </c>
      <c r="I7" s="25">
        <v>0.17</v>
      </c>
      <c r="J7" s="18">
        <f>B7*D7*E7</f>
        <v>2.288</v>
      </c>
      <c r="K7" s="19">
        <f>B7*D7*F7</f>
        <v>0.92</v>
      </c>
      <c r="L7" s="19">
        <f>B7*D7*G7</f>
        <v>7.6</v>
      </c>
      <c r="M7" s="19">
        <f>B7*D7*H7</f>
        <v>0.728</v>
      </c>
      <c r="N7" s="22">
        <f>B7*D7*I7</f>
        <v>0.68</v>
      </c>
    </row>
    <row r="8" spans="1:14" ht="13.5" thickBot="1">
      <c r="A8" s="26" t="s">
        <v>141</v>
      </c>
      <c r="B8" s="27"/>
      <c r="C8" s="27"/>
      <c r="D8" s="27"/>
      <c r="E8" s="27"/>
      <c r="F8" s="28"/>
      <c r="G8" s="28"/>
      <c r="H8" s="28"/>
      <c r="I8" s="28"/>
      <c r="J8" s="28">
        <f>SUM(J3:J7)</f>
        <v>10.847999999999999</v>
      </c>
      <c r="K8" s="28">
        <f>SUM(K3:K7)</f>
        <v>2.156</v>
      </c>
      <c r="L8" s="28">
        <f>SUM(L3:L7)</f>
        <v>24.439999999999998</v>
      </c>
      <c r="M8" s="28">
        <f>SUM(M3:M7)</f>
        <v>2.3520000000000003</v>
      </c>
      <c r="N8" s="29">
        <f>SUM(N3:N7)</f>
        <v>1.4740000000000002</v>
      </c>
    </row>
    <row r="9" spans="1:14" ht="14.25" thickBot="1" thickTop="1">
      <c r="A9" s="116" t="s">
        <v>103</v>
      </c>
      <c r="B9" s="27"/>
      <c r="C9" s="27"/>
      <c r="D9" s="27"/>
      <c r="E9" s="27"/>
      <c r="F9" s="28"/>
      <c r="G9" s="28"/>
      <c r="H9" s="28"/>
      <c r="I9" s="28"/>
      <c r="J9" s="28"/>
      <c r="K9" s="28"/>
      <c r="L9" s="28"/>
      <c r="M9" s="28"/>
      <c r="N9" s="30"/>
    </row>
    <row r="10" spans="1:14" ht="15.75" thickTop="1">
      <c r="A10" s="23" t="s">
        <v>136</v>
      </c>
      <c r="B10" s="20">
        <v>1</v>
      </c>
      <c r="C10" s="20">
        <v>23</v>
      </c>
      <c r="D10" s="20">
        <v>6</v>
      </c>
      <c r="E10" s="24">
        <v>0.253</v>
      </c>
      <c r="F10" s="24">
        <v>0.046</v>
      </c>
      <c r="G10" s="24">
        <v>0.414</v>
      </c>
      <c r="H10" s="24">
        <v>0.046</v>
      </c>
      <c r="I10" s="25">
        <v>0.023</v>
      </c>
      <c r="J10" s="18">
        <f>B10*D10*E10</f>
        <v>1.518</v>
      </c>
      <c r="K10" s="19">
        <f>B10*D10*F10</f>
        <v>0.276</v>
      </c>
      <c r="L10" s="19">
        <f>B10*D10*G10</f>
        <v>2.484</v>
      </c>
      <c r="M10" s="19">
        <f>B10*D10*H10</f>
        <v>0.276</v>
      </c>
      <c r="N10" s="22">
        <f>B10*D10*I10</f>
        <v>0.138</v>
      </c>
    </row>
    <row r="11" spans="1:14" ht="15">
      <c r="A11" s="23" t="s">
        <v>137</v>
      </c>
      <c r="B11" s="122">
        <v>1</v>
      </c>
      <c r="C11" s="20">
        <v>99</v>
      </c>
      <c r="D11" s="20">
        <v>8</v>
      </c>
      <c r="E11" s="24">
        <v>0.99</v>
      </c>
      <c r="F11" s="24">
        <v>0.2</v>
      </c>
      <c r="G11" s="24">
        <v>2.17</v>
      </c>
      <c r="H11" s="24">
        <v>0.2</v>
      </c>
      <c r="I11" s="25">
        <v>0.1</v>
      </c>
      <c r="J11" s="18">
        <f>B11*D11*E11</f>
        <v>7.92</v>
      </c>
      <c r="K11" s="19">
        <f>B11*D11*F11</f>
        <v>1.6</v>
      </c>
      <c r="L11" s="19">
        <f>B11*D11*G11</f>
        <v>17.36</v>
      </c>
      <c r="M11" s="19">
        <f>B11*D11*H11</f>
        <v>1.6</v>
      </c>
      <c r="N11" s="22">
        <f>B11*D11*I11</f>
        <v>0.8</v>
      </c>
    </row>
    <row r="12" spans="1:14" ht="15">
      <c r="A12" s="23" t="s">
        <v>138</v>
      </c>
      <c r="B12" s="122">
        <v>1</v>
      </c>
      <c r="C12" s="129" t="s">
        <v>129</v>
      </c>
      <c r="D12" s="20">
        <v>6</v>
      </c>
      <c r="E12" s="24">
        <v>0.3</v>
      </c>
      <c r="F12" s="24">
        <v>0.065</v>
      </c>
      <c r="G12" s="24">
        <v>0.87</v>
      </c>
      <c r="H12" s="24">
        <v>0.067</v>
      </c>
      <c r="I12" s="25">
        <v>0.05</v>
      </c>
      <c r="J12" s="18">
        <f>B12*D12*E12</f>
        <v>1.7999999999999998</v>
      </c>
      <c r="K12" s="19">
        <f>B12*D12*F12</f>
        <v>0.39</v>
      </c>
      <c r="L12" s="19">
        <f>B12*D12*G12</f>
        <v>5.22</v>
      </c>
      <c r="M12" s="19">
        <f>B12*D12*H12</f>
        <v>0.402</v>
      </c>
      <c r="N12" s="22">
        <f>B12*D12*I12</f>
        <v>0.30000000000000004</v>
      </c>
    </row>
    <row r="13" spans="1:14" ht="13.5" thickBot="1">
      <c r="A13" s="26" t="s">
        <v>142</v>
      </c>
      <c r="B13" s="28"/>
      <c r="C13" s="28"/>
      <c r="D13" s="27"/>
      <c r="E13" s="27"/>
      <c r="F13" s="28"/>
      <c r="G13" s="28"/>
      <c r="H13" s="28"/>
      <c r="I13" s="28"/>
      <c r="J13" s="28">
        <f>SUM(J10:J12)</f>
        <v>11.238</v>
      </c>
      <c r="K13" s="28">
        <f>SUM(K10:K12)</f>
        <v>2.266</v>
      </c>
      <c r="L13" s="28">
        <f>SUM(L10:L12)</f>
        <v>25.064</v>
      </c>
      <c r="M13" s="28">
        <f>SUM(M10:M12)</f>
        <v>2.278</v>
      </c>
      <c r="N13" s="29">
        <f>SUM(N10:N12)</f>
        <v>1.238</v>
      </c>
    </row>
    <row r="14" spans="1:14" ht="14.25" thickBot="1" thickTop="1">
      <c r="A14" s="31" t="s">
        <v>101</v>
      </c>
      <c r="B14" s="28"/>
      <c r="C14" s="28"/>
      <c r="D14" s="33"/>
      <c r="E14" s="33"/>
      <c r="F14" s="32"/>
      <c r="G14" s="32"/>
      <c r="H14" s="32"/>
      <c r="I14" s="32"/>
      <c r="J14" s="32" t="s">
        <v>101</v>
      </c>
      <c r="K14" s="32" t="s">
        <v>101</v>
      </c>
      <c r="L14" s="32" t="s">
        <v>101</v>
      </c>
      <c r="M14" s="32" t="s">
        <v>101</v>
      </c>
      <c r="N14" s="34" t="s">
        <v>101</v>
      </c>
    </row>
    <row r="15" spans="1:14" ht="14.25" thickBot="1" thickTop="1">
      <c r="A15" s="35" t="s">
        <v>10</v>
      </c>
      <c r="B15" s="36"/>
      <c r="C15" s="38"/>
      <c r="D15" s="37"/>
      <c r="E15" s="37"/>
      <c r="F15" s="38"/>
      <c r="G15" s="38"/>
      <c r="H15" s="38"/>
      <c r="I15" s="38"/>
      <c r="J15" s="38">
        <f>SUM(J8+J13)</f>
        <v>22.086</v>
      </c>
      <c r="K15" s="38">
        <f>SUM(K8+K13)</f>
        <v>4.422000000000001</v>
      </c>
      <c r="L15" s="38">
        <f>SUM(L8+L13)</f>
        <v>49.504</v>
      </c>
      <c r="M15" s="38">
        <f>SUM(M8+M13)</f>
        <v>4.630000000000001</v>
      </c>
      <c r="N15" s="39">
        <f>SUM(N8+N13)</f>
        <v>2.712</v>
      </c>
    </row>
    <row r="16" ht="13.5" thickTop="1"/>
    <row r="17" ht="12.75">
      <c r="A17" s="40" t="s">
        <v>139</v>
      </c>
    </row>
    <row r="18" spans="1:5" ht="12.75">
      <c r="A18" s="40" t="s">
        <v>131</v>
      </c>
      <c r="E18" s="40" t="s">
        <v>140</v>
      </c>
    </row>
    <row r="19" ht="12.75">
      <c r="A19" s="40"/>
    </row>
    <row r="20" ht="12.75">
      <c r="A20" s="125" t="s">
        <v>121</v>
      </c>
    </row>
  </sheetData>
  <sheetProtection/>
  <printOptions horizontalCentered="1" verticalCentered="1"/>
  <pageMargins left="0.75" right="0.75" top="1" bottom="1" header="0.5" footer="0.5"/>
  <pageSetup fitToHeight="1" fitToWidth="1" horizontalDpi="400" verticalDpi="400" orientation="landscape" scale="83" r:id="rId1"/>
  <headerFooter alignWithMargins="0">
    <oddHeader>&amp;C&amp;"Arial,Bold"&amp;12
Table A-1
Paramount Refinery Construction Equipment Combustion Emissions
During Demolition and Grading, and Construction of Foundations</oddHeader>
    <oddFooter>&amp;CA-&amp;P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K1">
      <selection activeCell="D6" sqref="D6"/>
    </sheetView>
  </sheetViews>
  <sheetFormatPr defaultColWidth="9.140625" defaultRowHeight="12.75"/>
  <cols>
    <col min="1" max="1" width="23.28125" style="0" customWidth="1"/>
  </cols>
  <sheetData>
    <row r="1" spans="1:14" ht="13.5" thickTop="1">
      <c r="A1" s="1" t="s">
        <v>0</v>
      </c>
      <c r="B1" s="2"/>
      <c r="C1" s="2"/>
      <c r="D1" s="2" t="s">
        <v>1</v>
      </c>
      <c r="E1" s="3"/>
      <c r="F1" s="4" t="s">
        <v>2</v>
      </c>
      <c r="G1" s="4"/>
      <c r="H1" s="5"/>
      <c r="I1" s="6"/>
      <c r="J1" s="7"/>
      <c r="K1" s="4" t="s">
        <v>3</v>
      </c>
      <c r="L1" s="8"/>
      <c r="M1" s="9"/>
      <c r="N1" s="10"/>
    </row>
    <row r="2" spans="1:14" ht="13.5" thickBot="1">
      <c r="A2" s="11" t="s">
        <v>104</v>
      </c>
      <c r="B2" s="12" t="s">
        <v>4</v>
      </c>
      <c r="C2" s="128" t="s">
        <v>128</v>
      </c>
      <c r="D2" s="13" t="s">
        <v>5</v>
      </c>
      <c r="E2" s="14" t="s">
        <v>6</v>
      </c>
      <c r="F2" s="14" t="s">
        <v>7</v>
      </c>
      <c r="G2" s="14" t="s">
        <v>8</v>
      </c>
      <c r="H2" s="14" t="s">
        <v>105</v>
      </c>
      <c r="I2" s="15" t="s">
        <v>9</v>
      </c>
      <c r="J2" s="16" t="s">
        <v>6</v>
      </c>
      <c r="K2" s="14" t="s">
        <v>7</v>
      </c>
      <c r="L2" s="14" t="s">
        <v>8</v>
      </c>
      <c r="M2" s="14" t="s">
        <v>105</v>
      </c>
      <c r="N2" s="17" t="s">
        <v>9</v>
      </c>
    </row>
    <row r="3" spans="1:14" ht="15.75" thickTop="1">
      <c r="A3" s="18" t="s">
        <v>143</v>
      </c>
      <c r="B3" s="20">
        <v>1</v>
      </c>
      <c r="C3" s="126" t="s">
        <v>129</v>
      </c>
      <c r="D3" s="20">
        <v>4</v>
      </c>
      <c r="E3" s="19">
        <v>0.572</v>
      </c>
      <c r="F3" s="19">
        <v>0.23</v>
      </c>
      <c r="G3" s="19">
        <v>1.9</v>
      </c>
      <c r="H3" s="19">
        <v>0.182</v>
      </c>
      <c r="I3" s="21">
        <v>0.17</v>
      </c>
      <c r="J3" s="18">
        <f aca="true" t="shared" si="0" ref="J3:J9">B3*D3*E3</f>
        <v>2.288</v>
      </c>
      <c r="K3" s="19">
        <f aca="true" t="shared" si="1" ref="K3:K9">B3*D3*F3</f>
        <v>0.92</v>
      </c>
      <c r="L3" s="19">
        <f aca="true" t="shared" si="2" ref="L3:L9">B3*D3*G3</f>
        <v>7.6</v>
      </c>
      <c r="M3" s="19">
        <f aca="true" t="shared" si="3" ref="M3:M9">B3*D3*H3</f>
        <v>0.728</v>
      </c>
      <c r="N3" s="22">
        <f aca="true" t="shared" si="4" ref="N3:N9">B3*D3*I3</f>
        <v>0.68</v>
      </c>
    </row>
    <row r="4" spans="1:14" ht="15">
      <c r="A4" s="23" t="s">
        <v>146</v>
      </c>
      <c r="B4" s="122">
        <v>1</v>
      </c>
      <c r="C4" s="20">
        <v>37</v>
      </c>
      <c r="D4" s="20">
        <v>8</v>
      </c>
      <c r="E4" s="24">
        <v>0.407</v>
      </c>
      <c r="F4" s="24">
        <v>0.074</v>
      </c>
      <c r="G4" s="24">
        <v>0.666</v>
      </c>
      <c r="H4" s="24">
        <v>0.074</v>
      </c>
      <c r="I4" s="25">
        <v>0.037</v>
      </c>
      <c r="J4" s="18">
        <f t="shared" si="0"/>
        <v>3.256</v>
      </c>
      <c r="K4" s="19">
        <f t="shared" si="1"/>
        <v>0.592</v>
      </c>
      <c r="L4" s="19">
        <f t="shared" si="2"/>
        <v>5.328</v>
      </c>
      <c r="M4" s="19">
        <f t="shared" si="3"/>
        <v>0.592</v>
      </c>
      <c r="N4" s="22">
        <f t="shared" si="4"/>
        <v>0.296</v>
      </c>
    </row>
    <row r="5" spans="1:14" ht="15">
      <c r="A5" s="23" t="s">
        <v>144</v>
      </c>
      <c r="B5" s="122">
        <v>2</v>
      </c>
      <c r="C5" s="126" t="s">
        <v>129</v>
      </c>
      <c r="D5" s="20">
        <v>6</v>
      </c>
      <c r="E5" s="24">
        <v>0.18</v>
      </c>
      <c r="F5" s="24">
        <v>0.053</v>
      </c>
      <c r="G5" s="24">
        <v>0.441</v>
      </c>
      <c r="H5" s="24">
        <v>0.143</v>
      </c>
      <c r="I5" s="25">
        <v>0.031</v>
      </c>
      <c r="J5" s="18">
        <f t="shared" si="0"/>
        <v>2.16</v>
      </c>
      <c r="K5" s="19">
        <f t="shared" si="1"/>
        <v>0.636</v>
      </c>
      <c r="L5" s="19">
        <f t="shared" si="2"/>
        <v>5.292</v>
      </c>
      <c r="M5" s="19">
        <f t="shared" si="3"/>
        <v>1.7159999999999997</v>
      </c>
      <c r="N5" s="22">
        <f t="shared" si="4"/>
        <v>0.372</v>
      </c>
    </row>
    <row r="6" spans="1:14" ht="15">
      <c r="A6" s="23" t="s">
        <v>134</v>
      </c>
      <c r="B6" s="122">
        <v>1</v>
      </c>
      <c r="C6" s="20">
        <v>8</v>
      </c>
      <c r="D6" s="20">
        <v>8</v>
      </c>
      <c r="E6" s="24">
        <v>0.06</v>
      </c>
      <c r="F6" s="24">
        <v>0.02</v>
      </c>
      <c r="G6" s="24">
        <v>0.16</v>
      </c>
      <c r="H6" s="24">
        <v>0.02</v>
      </c>
      <c r="I6" s="25">
        <v>0.01</v>
      </c>
      <c r="J6" s="18">
        <f t="shared" si="0"/>
        <v>0.48</v>
      </c>
      <c r="K6" s="19">
        <f t="shared" si="1"/>
        <v>0.16</v>
      </c>
      <c r="L6" s="19">
        <f t="shared" si="2"/>
        <v>1.28</v>
      </c>
      <c r="M6" s="19">
        <f t="shared" si="3"/>
        <v>0.16</v>
      </c>
      <c r="N6" s="22">
        <f t="shared" si="4"/>
        <v>0.08</v>
      </c>
    </row>
    <row r="7" spans="1:14" ht="15">
      <c r="A7" s="23" t="s">
        <v>147</v>
      </c>
      <c r="B7" s="122">
        <v>1</v>
      </c>
      <c r="C7" s="20">
        <v>60</v>
      </c>
      <c r="D7" s="20">
        <v>8</v>
      </c>
      <c r="E7" s="24">
        <v>1.2</v>
      </c>
      <c r="F7" s="24">
        <v>0.18</v>
      </c>
      <c r="G7" s="24">
        <v>1.32</v>
      </c>
      <c r="H7" s="24">
        <v>0.12</v>
      </c>
      <c r="I7" s="25">
        <v>0.09</v>
      </c>
      <c r="J7" s="18">
        <f t="shared" si="0"/>
        <v>9.6</v>
      </c>
      <c r="K7" s="19">
        <f t="shared" si="1"/>
        <v>1.44</v>
      </c>
      <c r="L7" s="19">
        <f t="shared" si="2"/>
        <v>10.56</v>
      </c>
      <c r="M7" s="19">
        <f t="shared" si="3"/>
        <v>0.96</v>
      </c>
      <c r="N7" s="22">
        <f t="shared" si="4"/>
        <v>0.72</v>
      </c>
    </row>
    <row r="8" spans="1:14" ht="15">
      <c r="A8" s="23" t="s">
        <v>148</v>
      </c>
      <c r="B8" s="122">
        <v>2</v>
      </c>
      <c r="C8" s="122">
        <v>35</v>
      </c>
      <c r="D8" s="122">
        <v>8</v>
      </c>
      <c r="E8" s="130">
        <f>0.011*35*0.45</f>
        <v>0.17325</v>
      </c>
      <c r="F8" s="130">
        <f>0.002*35*0.45</f>
        <v>0.03150000000000001</v>
      </c>
      <c r="G8" s="130">
        <f>0.018*35*0.45</f>
        <v>0.28350000000000003</v>
      </c>
      <c r="H8" s="130">
        <f>0.002*35*0.45</f>
        <v>0.03150000000000001</v>
      </c>
      <c r="I8" s="133">
        <f>0.001*35*0.45</f>
        <v>0.015750000000000004</v>
      </c>
      <c r="J8" s="131">
        <f t="shared" si="0"/>
        <v>2.772</v>
      </c>
      <c r="K8" s="130">
        <f t="shared" si="1"/>
        <v>0.5040000000000001</v>
      </c>
      <c r="L8" s="130">
        <f t="shared" si="2"/>
        <v>4.5360000000000005</v>
      </c>
      <c r="M8" s="130">
        <f t="shared" si="3"/>
        <v>0.5040000000000001</v>
      </c>
      <c r="N8" s="132">
        <f t="shared" si="4"/>
        <v>0.25200000000000006</v>
      </c>
    </row>
    <row r="9" spans="1:14" ht="15">
      <c r="A9" s="18" t="s">
        <v>145</v>
      </c>
      <c r="B9" s="20">
        <v>1</v>
      </c>
      <c r="C9" s="126" t="s">
        <v>129</v>
      </c>
      <c r="D9" s="20">
        <v>8</v>
      </c>
      <c r="E9" s="19">
        <v>0.675</v>
      </c>
      <c r="F9" s="19">
        <v>0.15</v>
      </c>
      <c r="G9" s="19">
        <v>1.7</v>
      </c>
      <c r="H9" s="19">
        <v>0.143</v>
      </c>
      <c r="I9" s="134">
        <v>0.14</v>
      </c>
      <c r="J9" s="18">
        <f t="shared" si="0"/>
        <v>5.4</v>
      </c>
      <c r="K9" s="19">
        <f t="shared" si="1"/>
        <v>1.2</v>
      </c>
      <c r="L9" s="19">
        <f t="shared" si="2"/>
        <v>13.6</v>
      </c>
      <c r="M9" s="19">
        <f t="shared" si="3"/>
        <v>1.144</v>
      </c>
      <c r="N9" s="22">
        <f t="shared" si="4"/>
        <v>1.12</v>
      </c>
    </row>
    <row r="10" spans="1:14" ht="13.5" thickBot="1">
      <c r="A10" s="117" t="s">
        <v>10</v>
      </c>
      <c r="B10" s="118"/>
      <c r="C10" s="118"/>
      <c r="D10" s="119"/>
      <c r="E10" s="119"/>
      <c r="F10" s="118"/>
      <c r="G10" s="118"/>
      <c r="H10" s="118"/>
      <c r="I10" s="135"/>
      <c r="J10" s="121">
        <f>SUM(J3:J9)</f>
        <v>25.955999999999996</v>
      </c>
      <c r="K10" s="118">
        <f>SUM(K3:K9)</f>
        <v>5.452000000000001</v>
      </c>
      <c r="L10" s="118">
        <f>SUM(L3:L9)</f>
        <v>48.196000000000005</v>
      </c>
      <c r="M10" s="118">
        <f>SUM(M3:M9)</f>
        <v>5.804</v>
      </c>
      <c r="N10" s="120">
        <f>SUM(N3:N9)</f>
        <v>3.52</v>
      </c>
    </row>
    <row r="11" ht="13.5" thickTop="1"/>
    <row r="12" ht="12.75">
      <c r="A12" s="40" t="s">
        <v>139</v>
      </c>
    </row>
    <row r="13" spans="1:5" ht="12.75">
      <c r="A13" s="40" t="s">
        <v>131</v>
      </c>
      <c r="E13" s="40" t="s">
        <v>140</v>
      </c>
    </row>
    <row r="14" ht="12.75">
      <c r="A14" s="40"/>
    </row>
    <row r="15" spans="1:6" ht="12.75">
      <c r="A15" s="40"/>
      <c r="B15" s="40"/>
      <c r="C15" s="40"/>
      <c r="D15" s="40"/>
      <c r="E15" s="40"/>
      <c r="F15" s="41"/>
    </row>
    <row r="16" ht="12.75">
      <c r="A16" s="40"/>
    </row>
    <row r="18" ht="12.75">
      <c r="A18" s="125" t="s">
        <v>122</v>
      </c>
    </row>
  </sheetData>
  <sheetProtection/>
  <printOptions horizontalCentered="1" verticalCentered="1"/>
  <pageMargins left="0.75" right="0.75" top="1" bottom="1" header="0.5" footer="0.5"/>
  <pageSetup fitToHeight="1" fitToWidth="1" horizontalDpi="400" verticalDpi="400" orientation="landscape" scale="86" r:id="rId1"/>
  <headerFooter alignWithMargins="0">
    <oddHeader xml:space="preserve">&amp;C&amp;"Arial,Bold"&amp;12
Table A-2
Paramount Refinery Construction Equipment Combustion Emissions 
During Equipment Installation </oddHeader>
    <oddFooter>&amp;CA-2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1">
      <selection activeCell="C28" sqref="C28"/>
    </sheetView>
  </sheetViews>
  <sheetFormatPr defaultColWidth="9.140625" defaultRowHeight="12.75"/>
  <cols>
    <col min="1" max="1" width="19.42187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3.5" thickBot="1">
      <c r="A2" s="200" t="s">
        <v>12</v>
      </c>
      <c r="B2" s="199" t="s">
        <v>6</v>
      </c>
      <c r="C2" s="177"/>
      <c r="D2" s="199" t="s">
        <v>7</v>
      </c>
      <c r="E2" s="178"/>
      <c r="F2" s="178"/>
      <c r="G2" s="178"/>
      <c r="H2" s="178"/>
      <c r="I2" s="43" t="s">
        <v>8</v>
      </c>
      <c r="J2" s="44"/>
      <c r="K2" s="46" t="s">
        <v>9</v>
      </c>
    </row>
    <row r="3" spans="1:11" ht="53.25" thickBot="1">
      <c r="A3" s="190"/>
      <c r="B3" s="47" t="s">
        <v>13</v>
      </c>
      <c r="C3" s="48" t="s">
        <v>14</v>
      </c>
      <c r="D3" s="47" t="s">
        <v>15</v>
      </c>
      <c r="E3" s="49" t="s">
        <v>14</v>
      </c>
      <c r="F3" s="50" t="s">
        <v>16</v>
      </c>
      <c r="G3" s="50" t="s">
        <v>17</v>
      </c>
      <c r="H3" s="48" t="s">
        <v>18</v>
      </c>
      <c r="I3" s="47" t="s">
        <v>13</v>
      </c>
      <c r="J3" s="48" t="s">
        <v>14</v>
      </c>
      <c r="K3" s="51" t="s">
        <v>19</v>
      </c>
    </row>
    <row r="4" spans="1:11" ht="27" thickBot="1">
      <c r="A4" s="52" t="s">
        <v>20</v>
      </c>
      <c r="B4" s="53">
        <v>8.99</v>
      </c>
      <c r="C4" s="53">
        <v>11.76</v>
      </c>
      <c r="D4" s="53">
        <v>0.54</v>
      </c>
      <c r="E4" s="53">
        <v>1.18</v>
      </c>
      <c r="F4" s="54">
        <v>0.37</v>
      </c>
      <c r="G4" s="53">
        <v>0.17</v>
      </c>
      <c r="H4" s="46">
        <v>0.39</v>
      </c>
      <c r="I4" s="53">
        <v>0.88</v>
      </c>
      <c r="J4" s="46">
        <v>0.72</v>
      </c>
      <c r="K4" s="46">
        <v>0.05</v>
      </c>
    </row>
    <row r="5" spans="1:11" ht="13.5" thickBot="1">
      <c r="A5" s="56" t="s">
        <v>21</v>
      </c>
      <c r="B5" s="57">
        <v>11.28</v>
      </c>
      <c r="C5" s="57">
        <v>13.95</v>
      </c>
      <c r="D5" s="57">
        <v>0.57</v>
      </c>
      <c r="E5" s="57">
        <v>1.25</v>
      </c>
      <c r="F5" s="45">
        <v>0.37</v>
      </c>
      <c r="G5" s="57">
        <v>0.16</v>
      </c>
      <c r="H5" s="57">
        <v>0.34</v>
      </c>
      <c r="I5" s="57">
        <v>1.36</v>
      </c>
      <c r="J5" s="44">
        <v>1.07</v>
      </c>
      <c r="K5" s="44">
        <v>0.07</v>
      </c>
    </row>
    <row r="6" spans="1:11" ht="13.5" thickBot="1">
      <c r="A6" s="56" t="s">
        <v>22</v>
      </c>
      <c r="B6" s="57">
        <v>48.75</v>
      </c>
      <c r="C6" s="57" t="s">
        <v>23</v>
      </c>
      <c r="D6" s="57">
        <v>1.39</v>
      </c>
      <c r="E6" s="57">
        <v>2.55</v>
      </c>
      <c r="F6" s="57">
        <v>0.09</v>
      </c>
      <c r="G6" s="57" t="s">
        <v>23</v>
      </c>
      <c r="H6" s="57">
        <v>0.11</v>
      </c>
      <c r="I6" s="57">
        <v>19.06</v>
      </c>
      <c r="J6" s="57">
        <v>1.57</v>
      </c>
      <c r="K6" s="44">
        <v>0.61</v>
      </c>
    </row>
    <row r="8" ht="13.5" thickBot="1"/>
    <row r="9" spans="1:12" ht="13.5" thickBot="1">
      <c r="A9" s="58"/>
      <c r="B9" s="199" t="s">
        <v>24</v>
      </c>
      <c r="C9" s="178"/>
      <c r="D9" s="177"/>
      <c r="E9" s="199" t="s">
        <v>25</v>
      </c>
      <c r="F9" s="178"/>
      <c r="G9" s="178"/>
      <c r="H9" s="178"/>
      <c r="I9" s="178"/>
      <c r="J9" s="178"/>
      <c r="K9" s="178"/>
      <c r="L9" s="177"/>
    </row>
    <row r="10" spans="1:12" ht="13.5" customHeight="1" thickBot="1">
      <c r="A10" s="59"/>
      <c r="B10" s="187" t="s">
        <v>26</v>
      </c>
      <c r="C10" s="202" t="s">
        <v>27</v>
      </c>
      <c r="D10" s="204" t="s">
        <v>28</v>
      </c>
      <c r="E10" s="199" t="s">
        <v>6</v>
      </c>
      <c r="F10" s="177"/>
      <c r="G10" s="199" t="s">
        <v>7</v>
      </c>
      <c r="H10" s="178"/>
      <c r="I10" s="177"/>
      <c r="J10" s="199" t="s">
        <v>8</v>
      </c>
      <c r="K10" s="177"/>
      <c r="L10" s="60" t="s">
        <v>9</v>
      </c>
    </row>
    <row r="11" spans="1:12" ht="66" thickBot="1">
      <c r="A11" s="61" t="s">
        <v>29</v>
      </c>
      <c r="B11" s="201"/>
      <c r="C11" s="203"/>
      <c r="D11" s="205"/>
      <c r="E11" s="62" t="s">
        <v>30</v>
      </c>
      <c r="F11" s="51" t="s">
        <v>31</v>
      </c>
      <c r="G11" s="62" t="s">
        <v>32</v>
      </c>
      <c r="H11" s="62" t="s">
        <v>33</v>
      </c>
      <c r="I11" s="63" t="s">
        <v>34</v>
      </c>
      <c r="J11" s="64" t="s">
        <v>35</v>
      </c>
      <c r="K11" s="62" t="s">
        <v>31</v>
      </c>
      <c r="L11" s="62" t="s">
        <v>36</v>
      </c>
    </row>
    <row r="12" spans="1:12" ht="12.75" customHeight="1">
      <c r="A12" s="195" t="s">
        <v>37</v>
      </c>
      <c r="B12" s="189">
        <v>35</v>
      </c>
      <c r="C12" s="189">
        <f>B12*2</f>
        <v>70</v>
      </c>
      <c r="D12" s="189">
        <v>11.5</v>
      </c>
      <c r="E12" s="185">
        <f>C12*D12*B$4/453.6</f>
        <v>15.954475308641975</v>
      </c>
      <c r="F12" s="185">
        <f>C12*C$4/453.6</f>
        <v>1.8148148148148147</v>
      </c>
      <c r="G12" s="185">
        <f>C12*D12*(D$4+H$4)/453.6</f>
        <v>1.650462962962963</v>
      </c>
      <c r="H12" s="185">
        <f>C12*(E$4+F$4)/453.6</f>
        <v>0.23919753086419748</v>
      </c>
      <c r="I12" s="185">
        <f>B12*8*G$4/453.6</f>
        <v>0.10493827160493827</v>
      </c>
      <c r="J12" s="185">
        <f>C12*D12*I$4/453.6</f>
        <v>1.5617283950617282</v>
      </c>
      <c r="K12" s="182">
        <f>C12*J$4/453.6</f>
        <v>0.1111111111111111</v>
      </c>
      <c r="L12" s="185">
        <f>C12*D12*K$4/453.6</f>
        <v>0.08873456790123456</v>
      </c>
    </row>
    <row r="13" spans="1:12" ht="13.5" thickBot="1">
      <c r="A13" s="196"/>
      <c r="B13" s="197"/>
      <c r="C13" s="197"/>
      <c r="D13" s="197"/>
      <c r="E13" s="186"/>
      <c r="F13" s="186"/>
      <c r="G13" s="186"/>
      <c r="H13" s="186"/>
      <c r="I13" s="186"/>
      <c r="J13" s="186"/>
      <c r="K13" s="184"/>
      <c r="L13" s="186"/>
    </row>
    <row r="14" spans="1:12" ht="12.75">
      <c r="A14" s="187" t="s">
        <v>21</v>
      </c>
      <c r="B14" s="189">
        <v>1</v>
      </c>
      <c r="C14" s="189">
        <f>+B14*2</f>
        <v>2</v>
      </c>
      <c r="D14" s="189">
        <v>11.5</v>
      </c>
      <c r="E14" s="185">
        <f>C14*D14*B6/453.6</f>
        <v>2.4718915343915344</v>
      </c>
      <c r="F14" s="185">
        <f>C14*C5/453.6</f>
        <v>0.061507936507936505</v>
      </c>
      <c r="G14" s="185">
        <f>C14*D14*(D6+H6)/453.6</f>
        <v>0.07605820105820106</v>
      </c>
      <c r="H14" s="185">
        <f>C14*(E5+F5)/453.6</f>
        <v>0.007142857142857143</v>
      </c>
      <c r="I14" s="185">
        <f>B14*8*G5/453.6</f>
        <v>0.002821869488536155</v>
      </c>
      <c r="J14" s="185">
        <f>I5*C14*D14/453.6</f>
        <v>0.0689594356261023</v>
      </c>
      <c r="K14" s="185">
        <f>J5*C14/453.6</f>
        <v>0.004717813051146384</v>
      </c>
      <c r="L14" s="185">
        <f>K5*C14*D14/453.6</f>
        <v>0.0035493827160493828</v>
      </c>
    </row>
    <row r="15" spans="1:12" ht="13.5" thickBot="1">
      <c r="A15" s="188"/>
      <c r="B15" s="190"/>
      <c r="C15" s="197"/>
      <c r="D15" s="190"/>
      <c r="E15" s="186"/>
      <c r="F15" s="186"/>
      <c r="G15" s="186"/>
      <c r="H15" s="186"/>
      <c r="I15" s="186"/>
      <c r="J15" s="186"/>
      <c r="K15" s="186"/>
      <c r="L15" s="186"/>
    </row>
    <row r="16" spans="1:12" ht="13.5" thickBot="1">
      <c r="A16" s="52" t="s">
        <v>38</v>
      </c>
      <c r="B16" s="53">
        <v>2</v>
      </c>
      <c r="C16" s="57">
        <f>B16*2</f>
        <v>4</v>
      </c>
      <c r="D16" s="57">
        <v>50</v>
      </c>
      <c r="E16" s="65">
        <f>C16*D16*B$6/453.6</f>
        <v>21.494708994708994</v>
      </c>
      <c r="F16" s="65" t="s">
        <v>23</v>
      </c>
      <c r="G16" s="65">
        <f>C16*D16*(D$6+H$6)/453.6</f>
        <v>0.6613756613756614</v>
      </c>
      <c r="H16" s="65">
        <f>C16*(E6+F6)/453.6</f>
        <v>0.023280423280423276</v>
      </c>
      <c r="I16" s="65" t="s">
        <v>23</v>
      </c>
      <c r="J16" s="65">
        <f>C16*D16*I$6/453.6</f>
        <v>8.403880070546736</v>
      </c>
      <c r="K16" s="65">
        <f>J5*C16/453.6</f>
        <v>0.009435626102292769</v>
      </c>
      <c r="L16" s="66">
        <f>K$6*C16*D16/453.6</f>
        <v>0.2689594356261023</v>
      </c>
    </row>
    <row r="17" spans="1:12" ht="15.75" thickBot="1">
      <c r="A17" s="67" t="s">
        <v>106</v>
      </c>
      <c r="B17" s="53">
        <v>1</v>
      </c>
      <c r="C17" s="57">
        <f>B17</f>
        <v>1</v>
      </c>
      <c r="D17" s="57">
        <v>1</v>
      </c>
      <c r="E17" s="65">
        <f>C17*D17*B$6/453.6</f>
        <v>0.10747354497354497</v>
      </c>
      <c r="F17" s="65" t="s">
        <v>23</v>
      </c>
      <c r="G17" s="65">
        <f>C17*D17*(D$6+H$6)/453.6</f>
        <v>0.0033068783068783067</v>
      </c>
      <c r="H17" s="65">
        <f>C17*(E6+F6)/453.6</f>
        <v>0.005820105820105819</v>
      </c>
      <c r="I17" s="65" t="s">
        <v>23</v>
      </c>
      <c r="J17" s="65">
        <f>C17*D17*I$6/453.6</f>
        <v>0.04201940035273368</v>
      </c>
      <c r="K17" s="65">
        <f>J5*C17/453.6</f>
        <v>0.002358906525573192</v>
      </c>
      <c r="L17" s="66">
        <f>K$6*C17*D17/453.6</f>
        <v>0.0013447971781305114</v>
      </c>
    </row>
    <row r="18" spans="1:12" ht="13.5" thickBot="1">
      <c r="A18" s="68"/>
      <c r="B18" s="45"/>
      <c r="C18" s="45"/>
      <c r="D18" s="45"/>
      <c r="E18" s="69"/>
      <c r="F18" s="69"/>
      <c r="G18" s="69"/>
      <c r="H18" s="69"/>
      <c r="I18" s="69"/>
      <c r="J18" s="69"/>
      <c r="K18" s="69"/>
      <c r="L18" s="69"/>
    </row>
    <row r="19" spans="1:12" ht="13.5" thickBot="1">
      <c r="A19" s="59" t="s">
        <v>29</v>
      </c>
      <c r="B19" s="198" t="s">
        <v>24</v>
      </c>
      <c r="C19" s="178"/>
      <c r="D19" s="177"/>
      <c r="E19" s="176" t="s">
        <v>6</v>
      </c>
      <c r="F19" s="179"/>
      <c r="G19" s="176" t="s">
        <v>7</v>
      </c>
      <c r="H19" s="180"/>
      <c r="I19" s="179"/>
      <c r="J19" s="176" t="s">
        <v>8</v>
      </c>
      <c r="K19" s="179"/>
      <c r="L19" s="70" t="s">
        <v>9</v>
      </c>
    </row>
    <row r="20" spans="1:12" ht="12.75" customHeight="1">
      <c r="A20" s="195" t="s">
        <v>39</v>
      </c>
      <c r="B20" s="189">
        <f>B12</f>
        <v>35</v>
      </c>
      <c r="C20" s="189">
        <f>C12</f>
        <v>70</v>
      </c>
      <c r="D20" s="189"/>
      <c r="E20" s="181">
        <f>E12+F12</f>
        <v>17.769290123456788</v>
      </c>
      <c r="F20" s="182"/>
      <c r="G20" s="181">
        <f>G12+H12+I12</f>
        <v>1.994598765432099</v>
      </c>
      <c r="H20" s="191"/>
      <c r="I20" s="192"/>
      <c r="J20" s="181">
        <f>J12+K12</f>
        <v>1.6728395061728394</v>
      </c>
      <c r="K20" s="182"/>
      <c r="L20" s="185">
        <f>L12</f>
        <v>0.08873456790123456</v>
      </c>
    </row>
    <row r="21" spans="1:12" ht="13.5" thickBot="1">
      <c r="A21" s="196"/>
      <c r="B21" s="197"/>
      <c r="C21" s="197"/>
      <c r="D21" s="197"/>
      <c r="E21" s="183"/>
      <c r="F21" s="184"/>
      <c r="G21" s="183"/>
      <c r="H21" s="193"/>
      <c r="I21" s="194"/>
      <c r="J21" s="183"/>
      <c r="K21" s="184"/>
      <c r="L21" s="186"/>
    </row>
    <row r="22" spans="1:12" ht="12.75" customHeight="1">
      <c r="A22" s="187" t="s">
        <v>40</v>
      </c>
      <c r="B22" s="189">
        <f>B14</f>
        <v>1</v>
      </c>
      <c r="C22" s="189">
        <f>C14</f>
        <v>2</v>
      </c>
      <c r="D22" s="189"/>
      <c r="E22" s="181">
        <f>E14+F14</f>
        <v>2.5333994708994707</v>
      </c>
      <c r="F22" s="182"/>
      <c r="G22" s="181">
        <f>G14+H14+I14</f>
        <v>0.08602292768959437</v>
      </c>
      <c r="H22" s="191"/>
      <c r="I22" s="192"/>
      <c r="J22" s="181">
        <f>J14+K14</f>
        <v>0.07367724867724867</v>
      </c>
      <c r="K22" s="182"/>
      <c r="L22" s="185">
        <f>L14</f>
        <v>0.0035493827160493828</v>
      </c>
    </row>
    <row r="23" spans="1:12" ht="15.75" customHeight="1" thickBot="1">
      <c r="A23" s="188"/>
      <c r="B23" s="190"/>
      <c r="C23" s="190"/>
      <c r="D23" s="190"/>
      <c r="E23" s="183"/>
      <c r="F23" s="184"/>
      <c r="G23" s="183"/>
      <c r="H23" s="193"/>
      <c r="I23" s="194"/>
      <c r="J23" s="183"/>
      <c r="K23" s="184"/>
      <c r="L23" s="186"/>
    </row>
    <row r="24" spans="1:12" ht="27.75" customHeight="1" thickBot="1">
      <c r="A24" s="71" t="s">
        <v>41</v>
      </c>
      <c r="B24" s="57">
        <f>B17+B16</f>
        <v>3</v>
      </c>
      <c r="C24" s="57">
        <f>+C16+C17</f>
        <v>5</v>
      </c>
      <c r="D24" s="57"/>
      <c r="E24" s="176">
        <f>+E16+E17</f>
        <v>21.602182539682538</v>
      </c>
      <c r="F24" s="179"/>
      <c r="G24" s="176">
        <f>G16+G17+H16+H17</f>
        <v>0.6937830687830687</v>
      </c>
      <c r="H24" s="180"/>
      <c r="I24" s="179"/>
      <c r="J24" s="176">
        <f>J17+J16+K16+K17</f>
        <v>8.457694003527337</v>
      </c>
      <c r="K24" s="179"/>
      <c r="L24" s="66">
        <f>L17+L16</f>
        <v>0.2703042328042328</v>
      </c>
    </row>
    <row r="25" spans="1:12" ht="13.5" thickBot="1">
      <c r="A25" s="60" t="s">
        <v>42</v>
      </c>
      <c r="B25" s="56"/>
      <c r="C25" s="68"/>
      <c r="D25" s="72"/>
      <c r="E25" s="176">
        <f>SUM(E20:F24)</f>
        <v>41.9048721340388</v>
      </c>
      <c r="F25" s="177"/>
      <c r="G25" s="176">
        <f>SUM(G20:I24)</f>
        <v>2.774404761904762</v>
      </c>
      <c r="H25" s="178"/>
      <c r="I25" s="177"/>
      <c r="J25" s="176">
        <f>SUM(J20:K24)</f>
        <v>10.204210758377425</v>
      </c>
      <c r="K25" s="177"/>
      <c r="L25" s="65">
        <f>SUM(L20:L24)</f>
        <v>0.3625881834215168</v>
      </c>
    </row>
    <row r="27" ht="12.75">
      <c r="A27" s="40" t="s">
        <v>107</v>
      </c>
    </row>
    <row r="28" ht="12.75">
      <c r="A28" s="40" t="s">
        <v>43</v>
      </c>
    </row>
    <row r="29" ht="12.75">
      <c r="A29" s="40" t="s">
        <v>44</v>
      </c>
    </row>
    <row r="30" ht="12.75">
      <c r="A30" s="40" t="s">
        <v>45</v>
      </c>
    </row>
    <row r="31" ht="12.75">
      <c r="A31" s="40" t="s">
        <v>46</v>
      </c>
    </row>
    <row r="32" ht="12.75">
      <c r="L32" s="73">
        <f ca="1">TODAY()</f>
        <v>41857</v>
      </c>
    </row>
    <row r="33" ht="12.75">
      <c r="A33" s="125" t="s">
        <v>123</v>
      </c>
    </row>
    <row r="35" ht="12.75">
      <c r="A35" s="40" t="s">
        <v>47</v>
      </c>
    </row>
    <row r="36" ht="12.75">
      <c r="L36" s="73"/>
    </row>
  </sheetData>
  <sheetProtection/>
  <mergeCells count="61">
    <mergeCell ref="F12:F13"/>
    <mergeCell ref="G10:I10"/>
    <mergeCell ref="G12:G13"/>
    <mergeCell ref="H12:H13"/>
    <mergeCell ref="I12:I13"/>
    <mergeCell ref="J10:K10"/>
    <mergeCell ref="A2:A3"/>
    <mergeCell ref="B2:C2"/>
    <mergeCell ref="D2:H2"/>
    <mergeCell ref="B9:D9"/>
    <mergeCell ref="B10:B11"/>
    <mergeCell ref="C10:C11"/>
    <mergeCell ref="D10:D11"/>
    <mergeCell ref="E9:L9"/>
    <mergeCell ref="E10:F10"/>
    <mergeCell ref="L12:L13"/>
    <mergeCell ref="A14:A15"/>
    <mergeCell ref="B14:B15"/>
    <mergeCell ref="C14:C15"/>
    <mergeCell ref="D14:D15"/>
    <mergeCell ref="E14:E15"/>
    <mergeCell ref="F14:F15"/>
    <mergeCell ref="G14:G15"/>
    <mergeCell ref="L14:L15"/>
    <mergeCell ref="A12:A13"/>
    <mergeCell ref="B12:B13"/>
    <mergeCell ref="C12:C13"/>
    <mergeCell ref="D12:D13"/>
    <mergeCell ref="J12:J13"/>
    <mergeCell ref="K12:K13"/>
    <mergeCell ref="E12:E13"/>
    <mergeCell ref="B19:D19"/>
    <mergeCell ref="E19:F19"/>
    <mergeCell ref="G19:I19"/>
    <mergeCell ref="J19:K19"/>
    <mergeCell ref="H14:H15"/>
    <mergeCell ref="I14:I15"/>
    <mergeCell ref="J14:J15"/>
    <mergeCell ref="K14:K15"/>
    <mergeCell ref="J20:K21"/>
    <mergeCell ref="L20:L21"/>
    <mergeCell ref="A22:A23"/>
    <mergeCell ref="B22:B23"/>
    <mergeCell ref="C22:C23"/>
    <mergeCell ref="D22:D23"/>
    <mergeCell ref="G22:I23"/>
    <mergeCell ref="J22:K23"/>
    <mergeCell ref="E22:F23"/>
    <mergeCell ref="L22:L23"/>
    <mergeCell ref="A20:A21"/>
    <mergeCell ref="B20:B21"/>
    <mergeCell ref="C20:C21"/>
    <mergeCell ref="D20:D21"/>
    <mergeCell ref="E20:F21"/>
    <mergeCell ref="G20:I21"/>
    <mergeCell ref="E25:F25"/>
    <mergeCell ref="G25:I25"/>
    <mergeCell ref="J25:K25"/>
    <mergeCell ref="E24:F24"/>
    <mergeCell ref="G24:I24"/>
    <mergeCell ref="J24:K24"/>
  </mergeCells>
  <printOptions horizontalCentered="1"/>
  <pageMargins left="0.75" right="0.75" top="1" bottom="1" header="0.5" footer="0.5"/>
  <pageSetup firstPageNumber="3" useFirstPageNumber="1" fitToHeight="1" fitToWidth="1" horizontalDpi="600" verticalDpi="600" orientation="landscape" scale="82" r:id="rId1"/>
  <headerFooter alignWithMargins="0">
    <oddHeader>&amp;C&amp;"Arial,Bold"&amp;12Table A-3
Construction Vehicle Emissions 
Paramount Refinery Cogeneration Project</oddHeader>
    <oddFooter>&amp;CA-3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6">
      <selection activeCell="A28" sqref="A28:IV29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10" ht="17.25">
      <c r="A1" s="206" t="s">
        <v>48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7.25">
      <c r="A2" s="206" t="s">
        <v>49</v>
      </c>
      <c r="B2" s="206"/>
      <c r="C2" s="206"/>
      <c r="D2" s="206"/>
      <c r="E2" s="206"/>
      <c r="F2" s="206"/>
      <c r="G2" s="206"/>
      <c r="H2" s="206"/>
      <c r="I2" s="206"/>
      <c r="J2" s="206"/>
    </row>
    <row r="3" ht="13.5" thickBot="1"/>
    <row r="4" spans="1:10" ht="39.75" thickBot="1">
      <c r="A4" s="199" t="s">
        <v>50</v>
      </c>
      <c r="B4" s="178"/>
      <c r="C4" s="68"/>
      <c r="D4" s="44" t="s">
        <v>51</v>
      </c>
      <c r="E4" s="45"/>
      <c r="F4" s="45" t="s">
        <v>52</v>
      </c>
      <c r="G4" s="74" t="s">
        <v>53</v>
      </c>
      <c r="H4" s="74" t="s">
        <v>54</v>
      </c>
      <c r="I4" s="75" t="s">
        <v>55</v>
      </c>
      <c r="J4" s="76" t="s">
        <v>56</v>
      </c>
    </row>
    <row r="5" spans="1:10" ht="12.75">
      <c r="A5" s="67"/>
      <c r="B5" s="42"/>
      <c r="C5" s="42"/>
      <c r="D5" s="77"/>
      <c r="E5" s="42"/>
      <c r="F5" s="42"/>
      <c r="G5" s="42"/>
      <c r="H5" s="42"/>
      <c r="I5" s="42"/>
      <c r="J5" s="78"/>
    </row>
    <row r="6" spans="1:10" ht="12.75">
      <c r="A6" s="59" t="s">
        <v>57</v>
      </c>
      <c r="B6" s="42"/>
      <c r="C6" s="42"/>
      <c r="D6" s="77"/>
      <c r="E6" s="42"/>
      <c r="F6" s="42"/>
      <c r="G6" s="42"/>
      <c r="H6" s="42"/>
      <c r="I6" s="42"/>
      <c r="J6" s="79"/>
    </row>
    <row r="7" spans="1:10" ht="12.75">
      <c r="A7" s="59" t="s">
        <v>58</v>
      </c>
      <c r="B7" s="42"/>
      <c r="D7" s="80">
        <v>35</v>
      </c>
      <c r="E7" s="81"/>
      <c r="F7" s="81" t="s">
        <v>59</v>
      </c>
      <c r="G7" s="81">
        <v>2</v>
      </c>
      <c r="H7" s="81">
        <v>11.5</v>
      </c>
      <c r="I7" s="42">
        <v>0.000856</v>
      </c>
      <c r="J7" s="124">
        <f>D7*G7*H7*I7</f>
        <v>0.68908</v>
      </c>
    </row>
    <row r="8" spans="1:10" ht="12.75">
      <c r="A8" s="59" t="s">
        <v>101</v>
      </c>
      <c r="B8" s="42"/>
      <c r="C8" s="42"/>
      <c r="D8" s="77"/>
      <c r="E8" s="42"/>
      <c r="F8" s="42"/>
      <c r="G8" s="42"/>
      <c r="H8" s="42"/>
      <c r="I8" s="42"/>
      <c r="J8" s="79"/>
    </row>
    <row r="9" spans="1:10" ht="12.75">
      <c r="A9" s="59"/>
      <c r="B9" s="42"/>
      <c r="C9" s="42"/>
      <c r="D9" s="77"/>
      <c r="E9" s="42"/>
      <c r="F9" s="42"/>
      <c r="G9" s="42"/>
      <c r="H9" s="42"/>
      <c r="I9" s="42"/>
      <c r="J9" s="79"/>
    </row>
    <row r="10" spans="1:10" ht="12.75">
      <c r="A10" s="59" t="s">
        <v>60</v>
      </c>
      <c r="B10" s="42"/>
      <c r="C10" s="42"/>
      <c r="D10" s="80">
        <v>1</v>
      </c>
      <c r="E10" s="81"/>
      <c r="F10" s="81" t="s">
        <v>59</v>
      </c>
      <c r="G10" s="81">
        <v>2</v>
      </c>
      <c r="H10" s="81">
        <v>11.5</v>
      </c>
      <c r="I10" s="42">
        <v>0.0026</v>
      </c>
      <c r="J10" s="82">
        <f>D10*G10*H10*I10</f>
        <v>0.0598</v>
      </c>
    </row>
    <row r="11" spans="1:10" ht="12.75">
      <c r="A11" s="59" t="s">
        <v>149</v>
      </c>
      <c r="B11" s="42"/>
      <c r="C11" s="42"/>
      <c r="D11" s="77"/>
      <c r="E11" s="42"/>
      <c r="F11" s="42"/>
      <c r="G11" s="42"/>
      <c r="H11" s="42"/>
      <c r="I11" s="42"/>
      <c r="J11" s="79"/>
    </row>
    <row r="12" spans="1:10" ht="12.75">
      <c r="A12" s="59"/>
      <c r="B12" s="42"/>
      <c r="C12" s="42"/>
      <c r="D12" s="77"/>
      <c r="E12" s="42"/>
      <c r="F12" s="42"/>
      <c r="G12" s="42"/>
      <c r="H12" s="42"/>
      <c r="I12" s="42"/>
      <c r="J12" s="79"/>
    </row>
    <row r="13" spans="1:10" ht="13.5" thickBot="1">
      <c r="A13" s="59" t="s">
        <v>60</v>
      </c>
      <c r="B13" s="42"/>
      <c r="C13" s="42"/>
      <c r="D13" s="80">
        <v>2</v>
      </c>
      <c r="E13" s="81"/>
      <c r="F13" s="81" t="s">
        <v>61</v>
      </c>
      <c r="G13" s="81">
        <f>+D13*2</f>
        <v>4</v>
      </c>
      <c r="H13" s="81">
        <v>50</v>
      </c>
      <c r="I13" s="42">
        <v>0.0206</v>
      </c>
      <c r="J13" s="82">
        <f>D13*G13*H13*I13</f>
        <v>8.24</v>
      </c>
    </row>
    <row r="14" spans="1:10" ht="13.5" thickBot="1">
      <c r="A14" s="56" t="s">
        <v>63</v>
      </c>
      <c r="B14" s="68"/>
      <c r="C14" s="68"/>
      <c r="D14" s="44">
        <f>SUM(D7:D13)</f>
        <v>38</v>
      </c>
      <c r="E14" s="68"/>
      <c r="F14" s="68"/>
      <c r="G14" s="68"/>
      <c r="H14" s="68"/>
      <c r="I14" s="68"/>
      <c r="J14" s="123">
        <f>SUM(J7:J13)</f>
        <v>8.98888</v>
      </c>
    </row>
    <row r="16" ht="12.75">
      <c r="A16" s="40" t="s">
        <v>108</v>
      </c>
    </row>
    <row r="17" ht="12.75">
      <c r="A17" s="40" t="s">
        <v>109</v>
      </c>
    </row>
    <row r="18" spans="1:2" ht="12.75">
      <c r="A18" s="40" t="s">
        <v>110</v>
      </c>
      <c r="B18" s="40"/>
    </row>
    <row r="19" spans="1:2" ht="12.75">
      <c r="A19" s="40" t="s">
        <v>111</v>
      </c>
      <c r="B19" s="40"/>
    </row>
    <row r="20" spans="1:10" ht="12.75">
      <c r="A20" s="40" t="s">
        <v>112</v>
      </c>
      <c r="B20" s="40"/>
      <c r="J20" s="73"/>
    </row>
    <row r="21" spans="1:2" ht="12.75">
      <c r="A21" s="40" t="s">
        <v>113</v>
      </c>
      <c r="B21" s="40"/>
    </row>
    <row r="22" spans="1:2" ht="12.75">
      <c r="A22" s="40"/>
      <c r="B22" s="40"/>
    </row>
    <row r="24" spans="1:10" ht="12.75">
      <c r="A24" s="125" t="s">
        <v>124</v>
      </c>
      <c r="J24" s="73">
        <f ca="1">(TODAY())</f>
        <v>41857</v>
      </c>
    </row>
  </sheetData>
  <sheetProtection/>
  <mergeCells count="3">
    <mergeCell ref="A4:B4"/>
    <mergeCell ref="A1:J1"/>
    <mergeCell ref="A2:J2"/>
  </mergeCells>
  <printOptions horizontalCentered="1"/>
  <pageMargins left="0.75" right="0.75" top="1" bottom="1" header="0.5" footer="0.5"/>
  <pageSetup horizontalDpi="300" verticalDpi="300" orientation="landscape" r:id="rId1"/>
  <headerFooter alignWithMargins="0">
    <oddHeader>&amp;C&amp;"Arial,Bold"&amp;12TABLE A-4</oddHeader>
    <oddFooter>&amp;CA-4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G18">
      <selection activeCell="O16" sqref="O16"/>
    </sheetView>
  </sheetViews>
  <sheetFormatPr defaultColWidth="9.140625" defaultRowHeight="12.75"/>
  <cols>
    <col min="1" max="1" width="36.7109375" style="0" customWidth="1"/>
    <col min="4" max="4" width="10.57421875" style="0" customWidth="1"/>
    <col min="6" max="6" width="11.7109375" style="0" customWidth="1"/>
    <col min="8" max="8" width="9.8515625" style="0" customWidth="1"/>
    <col min="10" max="10" width="11.7109375" style="0" customWidth="1"/>
    <col min="11" max="11" width="11.00390625" style="0" customWidth="1"/>
    <col min="12" max="12" width="11.421875" style="0" customWidth="1"/>
    <col min="13" max="13" width="10.8515625" style="0" customWidth="1"/>
    <col min="14" max="14" width="10.57421875" style="0" customWidth="1"/>
    <col min="15" max="15" width="11.28125" style="0" customWidth="1"/>
    <col min="16" max="16" width="11.00390625" style="0" customWidth="1"/>
    <col min="17" max="17" width="11.28125" style="0" customWidth="1"/>
  </cols>
  <sheetData>
    <row r="2" spans="1:14" ht="17.25">
      <c r="A2" s="83"/>
      <c r="B2" s="84"/>
      <c r="C2" s="84"/>
      <c r="F2" s="206" t="s">
        <v>118</v>
      </c>
      <c r="G2" s="219"/>
      <c r="H2" s="219"/>
      <c r="I2" s="219"/>
      <c r="J2" s="219"/>
      <c r="M2" s="84"/>
      <c r="N2" s="84"/>
    </row>
    <row r="3" spans="1:14" ht="17.25">
      <c r="A3" s="83"/>
      <c r="B3" s="84"/>
      <c r="C3" s="84"/>
      <c r="D3" s="206" t="s">
        <v>119</v>
      </c>
      <c r="E3" s="221"/>
      <c r="F3" s="221"/>
      <c r="G3" s="221"/>
      <c r="H3" s="221"/>
      <c r="I3" s="221"/>
      <c r="J3" s="221"/>
      <c r="K3" s="221"/>
      <c r="L3" s="221"/>
      <c r="M3" s="84"/>
      <c r="N3" s="84"/>
    </row>
    <row r="4" spans="1:14" ht="18" thickBot="1">
      <c r="A4" s="83"/>
      <c r="B4" s="84"/>
      <c r="C4" s="84"/>
      <c r="F4" s="83"/>
      <c r="G4" s="84"/>
      <c r="H4" s="84"/>
      <c r="M4" s="84"/>
      <c r="N4" s="84"/>
    </row>
    <row r="5" spans="1:15" ht="18" thickBot="1">
      <c r="A5" s="86"/>
      <c r="B5" s="87"/>
      <c r="C5" s="87"/>
      <c r="D5" s="213" t="s">
        <v>64</v>
      </c>
      <c r="E5" s="88"/>
      <c r="F5" s="213" t="s">
        <v>65</v>
      </c>
      <c r="G5" s="87"/>
      <c r="H5" s="220" t="s">
        <v>66</v>
      </c>
      <c r="I5" s="220" t="s">
        <v>67</v>
      </c>
      <c r="J5" s="220" t="s">
        <v>68</v>
      </c>
      <c r="K5" s="199" t="s">
        <v>69</v>
      </c>
      <c r="L5" s="177"/>
      <c r="M5" s="217" t="s">
        <v>70</v>
      </c>
      <c r="N5" s="216"/>
      <c r="O5" s="212" t="s">
        <v>71</v>
      </c>
    </row>
    <row r="6" spans="1:15" ht="18" customHeight="1" thickBot="1">
      <c r="A6" s="55"/>
      <c r="B6" s="92"/>
      <c r="C6" s="92"/>
      <c r="D6" s="214"/>
      <c r="E6" s="42"/>
      <c r="F6" s="214"/>
      <c r="G6" s="92"/>
      <c r="H6" s="214"/>
      <c r="I6" s="214"/>
      <c r="J6" s="214"/>
      <c r="K6" s="212" t="s">
        <v>72</v>
      </c>
      <c r="L6" s="207" t="s">
        <v>150</v>
      </c>
      <c r="M6" s="212" t="s">
        <v>72</v>
      </c>
      <c r="N6" s="207" t="s">
        <v>73</v>
      </c>
      <c r="O6" s="216"/>
    </row>
    <row r="7" spans="1:15" ht="12.75" customHeight="1" thickBot="1">
      <c r="A7" s="209" t="s">
        <v>74</v>
      </c>
      <c r="B7" s="94"/>
      <c r="C7" s="94"/>
      <c r="D7" s="214"/>
      <c r="E7" s="95"/>
      <c r="F7" s="214"/>
      <c r="G7" s="94"/>
      <c r="H7" s="214"/>
      <c r="I7" s="214"/>
      <c r="J7" s="214"/>
      <c r="K7" s="212"/>
      <c r="L7" s="218"/>
      <c r="M7" s="212"/>
      <c r="N7" s="218"/>
      <c r="O7" s="216"/>
    </row>
    <row r="8" spans="1:15" ht="13.5" thickBot="1">
      <c r="A8" s="210"/>
      <c r="B8" s="94"/>
      <c r="C8" s="94"/>
      <c r="D8" s="214"/>
      <c r="E8" s="95"/>
      <c r="F8" s="214"/>
      <c r="G8" s="94"/>
      <c r="H8" s="214"/>
      <c r="I8" s="214"/>
      <c r="J8" s="214"/>
      <c r="K8" s="212"/>
      <c r="L8" s="218"/>
      <c r="M8" s="212"/>
      <c r="N8" s="218"/>
      <c r="O8" s="216"/>
    </row>
    <row r="9" spans="1:15" ht="13.5" thickBot="1">
      <c r="A9" s="211"/>
      <c r="B9" s="96"/>
      <c r="C9" s="96"/>
      <c r="D9" s="215"/>
      <c r="E9" s="97"/>
      <c r="F9" s="215"/>
      <c r="G9" s="96"/>
      <c r="H9" s="215"/>
      <c r="I9" s="215"/>
      <c r="J9" s="215"/>
      <c r="K9" s="212"/>
      <c r="L9" s="208"/>
      <c r="M9" s="212"/>
      <c r="N9" s="208"/>
      <c r="O9" s="216"/>
    </row>
    <row r="10" spans="1:15" ht="13.5" thickBot="1">
      <c r="A10" s="98" t="s">
        <v>75</v>
      </c>
      <c r="B10" s="99"/>
      <c r="C10" s="99"/>
      <c r="D10" s="100">
        <v>1</v>
      </c>
      <c r="E10" s="100"/>
      <c r="F10" s="100">
        <v>2</v>
      </c>
      <c r="G10" s="100"/>
      <c r="H10" s="100">
        <v>8</v>
      </c>
      <c r="I10" s="100">
        <v>7.7</v>
      </c>
      <c r="J10" s="100">
        <v>0.5</v>
      </c>
      <c r="K10" s="70">
        <f>+D10*H10*I10*J10</f>
        <v>30.8</v>
      </c>
      <c r="L10" s="70">
        <f>+F10*H10*I10*J10</f>
        <v>61.6</v>
      </c>
      <c r="M10" s="101">
        <f>+D10*H10*I10</f>
        <v>61.6</v>
      </c>
      <c r="N10" s="101">
        <f>+F10*H10*I10</f>
        <v>123.2</v>
      </c>
      <c r="O10" s="60" t="s">
        <v>76</v>
      </c>
    </row>
    <row r="12" ht="13.5" thickBot="1">
      <c r="C12" s="85"/>
    </row>
    <row r="13" spans="1:15" ht="13.5" customHeight="1" thickBot="1">
      <c r="A13" s="67" t="s">
        <v>77</v>
      </c>
      <c r="B13" s="88"/>
      <c r="C13" s="88"/>
      <c r="D13" s="88"/>
      <c r="E13" s="88"/>
      <c r="F13" s="88"/>
      <c r="G13" s="88"/>
      <c r="H13" s="88"/>
      <c r="I13" s="88"/>
      <c r="J13" s="102"/>
      <c r="K13" s="103" t="s">
        <v>69</v>
      </c>
      <c r="L13" s="104"/>
      <c r="M13" s="105" t="s">
        <v>70</v>
      </c>
      <c r="N13" s="104"/>
      <c r="O13" s="207" t="s">
        <v>71</v>
      </c>
    </row>
    <row r="14" spans="1:15" ht="66" thickBot="1">
      <c r="A14" s="59" t="s">
        <v>78</v>
      </c>
      <c r="B14" s="42"/>
      <c r="C14" s="42"/>
      <c r="D14" s="106"/>
      <c r="E14" s="106"/>
      <c r="F14" s="93" t="s">
        <v>79</v>
      </c>
      <c r="G14" s="106"/>
      <c r="H14" s="93" t="s">
        <v>80</v>
      </c>
      <c r="I14" s="93" t="s">
        <v>81</v>
      </c>
      <c r="J14" s="107" t="s">
        <v>68</v>
      </c>
      <c r="K14" s="108" t="s">
        <v>82</v>
      </c>
      <c r="L14" s="76" t="s">
        <v>83</v>
      </c>
      <c r="M14" s="109" t="s">
        <v>82</v>
      </c>
      <c r="N14" s="107" t="s">
        <v>84</v>
      </c>
      <c r="O14" s="208"/>
    </row>
    <row r="15" spans="1:15" ht="13.5" thickBot="1">
      <c r="A15" s="56" t="s">
        <v>75</v>
      </c>
      <c r="B15" s="68"/>
      <c r="C15" s="68"/>
      <c r="D15" s="45"/>
      <c r="E15" s="68"/>
      <c r="F15" s="45">
        <v>10</v>
      </c>
      <c r="G15" s="68"/>
      <c r="H15" s="45">
        <v>20</v>
      </c>
      <c r="I15" s="45">
        <v>1.2E-05</v>
      </c>
      <c r="J15" s="44">
        <v>0.5</v>
      </c>
      <c r="K15" s="45">
        <f>+F15*I15*J15</f>
        <v>6E-05</v>
      </c>
      <c r="L15" s="44">
        <f>+H15*I15*0.34</f>
        <v>8.16E-05</v>
      </c>
      <c r="M15" s="43">
        <f>+F15*I15</f>
        <v>0.00012</v>
      </c>
      <c r="N15" s="43">
        <f>+H15*I15</f>
        <v>0.00024</v>
      </c>
      <c r="O15" s="72" t="s">
        <v>152</v>
      </c>
    </row>
    <row r="16" spans="1:15" ht="12.75">
      <c r="A16" s="6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102"/>
    </row>
    <row r="17" spans="1:15" ht="12.75">
      <c r="A17" s="59" t="s">
        <v>85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77"/>
    </row>
    <row r="18" spans="1:15" ht="13.5" thickBot="1">
      <c r="A18" s="61" t="s">
        <v>86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/>
    </row>
    <row r="19" ht="16.5" customHeight="1"/>
    <row r="20" ht="13.5" thickBot="1"/>
    <row r="21" spans="1:15" ht="53.25" thickBot="1">
      <c r="A21" s="71" t="s">
        <v>87</v>
      </c>
      <c r="B21" s="75"/>
      <c r="C21" s="103"/>
      <c r="D21" s="74"/>
      <c r="E21" s="75"/>
      <c r="F21" s="74" t="s">
        <v>151</v>
      </c>
      <c r="G21" s="75"/>
      <c r="H21" s="74" t="s">
        <v>88</v>
      </c>
      <c r="I21" s="74" t="s">
        <v>89</v>
      </c>
      <c r="J21" s="90" t="s">
        <v>90</v>
      </c>
      <c r="K21" s="89" t="s">
        <v>82</v>
      </c>
      <c r="L21" s="90" t="s">
        <v>91</v>
      </c>
      <c r="M21" s="89" t="s">
        <v>92</v>
      </c>
      <c r="N21" s="90" t="s">
        <v>93</v>
      </c>
      <c r="O21" s="91" t="s">
        <v>71</v>
      </c>
    </row>
    <row r="22" spans="1:15" ht="13.5" thickBot="1">
      <c r="A22" s="56" t="s">
        <v>75</v>
      </c>
      <c r="B22" s="68"/>
      <c r="C22" s="68"/>
      <c r="D22" s="45"/>
      <c r="E22" s="68"/>
      <c r="F22" s="45">
        <v>120</v>
      </c>
      <c r="G22" s="68"/>
      <c r="H22" s="45">
        <v>0.1</v>
      </c>
      <c r="I22" s="45">
        <v>0.5</v>
      </c>
      <c r="J22" s="112">
        <f>1.7*0.075/1.5*331/235*25/0.15*0.5</f>
        <v>9.976950354609931</v>
      </c>
      <c r="K22" s="113">
        <f>+H22*J22</f>
        <v>0.9976950354609931</v>
      </c>
      <c r="L22" s="112">
        <f>I22*J22</f>
        <v>4.988475177304966</v>
      </c>
      <c r="M22" s="112">
        <f>K22*F22/2000</f>
        <v>0.059861702127659594</v>
      </c>
      <c r="N22" s="112">
        <f>L22*F22/2000</f>
        <v>0.29930851063829794</v>
      </c>
      <c r="O22" s="72" t="s">
        <v>94</v>
      </c>
    </row>
    <row r="24" ht="13.5" thickBot="1"/>
    <row r="25" spans="3:10" ht="13.5" thickBot="1">
      <c r="C25" s="67" t="s">
        <v>95</v>
      </c>
      <c r="D25" s="88"/>
      <c r="E25" s="88"/>
      <c r="F25" s="88"/>
      <c r="G25" s="88"/>
      <c r="H25" s="88"/>
      <c r="I25" s="136" t="s">
        <v>96</v>
      </c>
      <c r="J25" s="57" t="s">
        <v>97</v>
      </c>
    </row>
    <row r="26" spans="3:10" ht="12.75">
      <c r="C26" s="59" t="s">
        <v>98</v>
      </c>
      <c r="D26" s="42"/>
      <c r="E26" s="42"/>
      <c r="F26" s="42"/>
      <c r="G26" s="42" t="s">
        <v>99</v>
      </c>
      <c r="H26" s="42"/>
      <c r="I26" s="114">
        <f>+K10+K15+K22</f>
        <v>31.797755035460995</v>
      </c>
      <c r="J26" s="114">
        <f>+L10+L15+L22</f>
        <v>66.58855677730497</v>
      </c>
    </row>
    <row r="27" spans="3:10" ht="13.5" thickBot="1">
      <c r="C27" s="61" t="s">
        <v>100</v>
      </c>
      <c r="D27" s="110"/>
      <c r="E27" s="110"/>
      <c r="F27" s="110"/>
      <c r="G27" s="110"/>
      <c r="H27" s="110"/>
      <c r="I27" s="115">
        <f>+M10+M15+M22</f>
        <v>61.659981702127666</v>
      </c>
      <c r="J27" s="115">
        <f>+N10+N15+N22</f>
        <v>123.4995485106383</v>
      </c>
    </row>
    <row r="29" spans="1:3" ht="12.75">
      <c r="A29" s="125" t="s">
        <v>125</v>
      </c>
      <c r="B29" t="s">
        <v>101</v>
      </c>
      <c r="C29" s="40" t="s">
        <v>101</v>
      </c>
    </row>
  </sheetData>
  <sheetProtection/>
  <mergeCells count="16">
    <mergeCell ref="F2:J2"/>
    <mergeCell ref="L6:L9"/>
    <mergeCell ref="H5:H9"/>
    <mergeCell ref="I5:I9"/>
    <mergeCell ref="J5:J9"/>
    <mergeCell ref="F5:F9"/>
    <mergeCell ref="D3:L3"/>
    <mergeCell ref="O13:O14"/>
    <mergeCell ref="A7:A9"/>
    <mergeCell ref="K6:K9"/>
    <mergeCell ref="D5:D9"/>
    <mergeCell ref="O5:O9"/>
    <mergeCell ref="K5:L5"/>
    <mergeCell ref="M5:N5"/>
    <mergeCell ref="M6:M9"/>
    <mergeCell ref="N6:N9"/>
  </mergeCells>
  <printOptions horizontalCentered="1"/>
  <pageMargins left="0.75" right="0.75" top="1" bottom="1" header="0.5" footer="0.5"/>
  <pageSetup horizontalDpi="300" verticalDpi="300" orientation="landscape" scale="65" r:id="rId1"/>
  <headerFooter alignWithMargins="0">
    <oddHeader>&amp;C&amp;"Arial,Bold"&amp;12TABLE A-5</oddHeader>
    <oddFooter>&amp;CA-5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21">
      <selection activeCell="A35" sqref="A35"/>
    </sheetView>
  </sheetViews>
  <sheetFormatPr defaultColWidth="9.140625" defaultRowHeight="12.75"/>
  <cols>
    <col min="1" max="1" width="19.421875" style="0" customWidth="1"/>
    <col min="2" max="2" width="10.00390625" style="0" customWidth="1"/>
    <col min="3" max="3" width="10.7109375" style="0" customWidth="1"/>
    <col min="5" max="6" width="10.710937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3.5" thickBot="1">
      <c r="A2" s="200" t="s">
        <v>12</v>
      </c>
      <c r="B2" s="199" t="s">
        <v>6</v>
      </c>
      <c r="C2" s="177"/>
      <c r="D2" s="199" t="s">
        <v>7</v>
      </c>
      <c r="E2" s="178"/>
      <c r="F2" s="178"/>
      <c r="G2" s="178"/>
      <c r="H2" s="178"/>
      <c r="I2" s="45" t="s">
        <v>8</v>
      </c>
      <c r="J2" s="44"/>
      <c r="K2" s="46" t="s">
        <v>9</v>
      </c>
    </row>
    <row r="3" spans="1:11" ht="53.25" thickBot="1">
      <c r="A3" s="190"/>
      <c r="B3" s="47" t="s">
        <v>13</v>
      </c>
      <c r="C3" s="48" t="s">
        <v>14</v>
      </c>
      <c r="D3" s="47" t="s">
        <v>15</v>
      </c>
      <c r="E3" s="49" t="s">
        <v>14</v>
      </c>
      <c r="F3" s="50" t="s">
        <v>16</v>
      </c>
      <c r="G3" s="50" t="s">
        <v>17</v>
      </c>
      <c r="H3" s="48" t="s">
        <v>18</v>
      </c>
      <c r="I3" s="47" t="s">
        <v>13</v>
      </c>
      <c r="J3" s="48" t="s">
        <v>14</v>
      </c>
      <c r="K3" s="51" t="s">
        <v>19</v>
      </c>
    </row>
    <row r="4" spans="1:11" ht="27" thickBot="1">
      <c r="A4" s="52" t="s">
        <v>20</v>
      </c>
      <c r="B4" s="53">
        <v>8.99</v>
      </c>
      <c r="C4" s="53">
        <v>11.76</v>
      </c>
      <c r="D4" s="53">
        <v>0.54</v>
      </c>
      <c r="E4" s="53">
        <v>1.18</v>
      </c>
      <c r="F4" s="54">
        <v>0.37</v>
      </c>
      <c r="G4" s="53">
        <v>0.17</v>
      </c>
      <c r="H4" s="46">
        <v>0.39</v>
      </c>
      <c r="I4" s="53">
        <v>0.88</v>
      </c>
      <c r="J4" s="46">
        <v>0.72</v>
      </c>
      <c r="K4" s="46">
        <v>0.05</v>
      </c>
    </row>
    <row r="5" spans="1:11" ht="13.5" thickBot="1">
      <c r="A5" s="56" t="s">
        <v>21</v>
      </c>
      <c r="B5" s="57">
        <v>11.28</v>
      </c>
      <c r="C5" s="57">
        <v>13.95</v>
      </c>
      <c r="D5" s="57">
        <v>0.57</v>
      </c>
      <c r="E5" s="57">
        <v>1.25</v>
      </c>
      <c r="F5" s="45">
        <v>0.37</v>
      </c>
      <c r="G5" s="57">
        <v>0.16</v>
      </c>
      <c r="H5" s="57">
        <v>0.34</v>
      </c>
      <c r="I5" s="57">
        <v>1.36</v>
      </c>
      <c r="J5" s="44">
        <v>1.07</v>
      </c>
      <c r="K5" s="44">
        <v>0.07</v>
      </c>
    </row>
    <row r="6" spans="1:11" ht="13.5" thickBot="1">
      <c r="A6" s="56" t="s">
        <v>22</v>
      </c>
      <c r="B6" s="57">
        <v>48.75</v>
      </c>
      <c r="C6" s="57" t="s">
        <v>23</v>
      </c>
      <c r="D6" s="57">
        <v>1.39</v>
      </c>
      <c r="E6" s="57">
        <v>2.55</v>
      </c>
      <c r="F6" s="57">
        <v>0.09</v>
      </c>
      <c r="G6" s="57" t="s">
        <v>23</v>
      </c>
      <c r="H6" s="57">
        <v>0.11</v>
      </c>
      <c r="I6" s="57">
        <v>19.06</v>
      </c>
      <c r="J6" s="57">
        <v>1.57</v>
      </c>
      <c r="K6" s="44">
        <v>0.61</v>
      </c>
    </row>
    <row r="8" ht="13.5" thickBot="1"/>
    <row r="9" spans="1:12" ht="13.5" thickBot="1">
      <c r="A9" s="58"/>
      <c r="B9" s="199" t="s">
        <v>24</v>
      </c>
      <c r="C9" s="178"/>
      <c r="D9" s="177"/>
      <c r="E9" s="199" t="s">
        <v>25</v>
      </c>
      <c r="F9" s="178"/>
      <c r="G9" s="178"/>
      <c r="H9" s="178"/>
      <c r="I9" s="178"/>
      <c r="J9" s="178"/>
      <c r="K9" s="178"/>
      <c r="L9" s="177"/>
    </row>
    <row r="10" spans="1:12" ht="13.5" customHeight="1" thickBot="1">
      <c r="A10" s="59"/>
      <c r="B10" s="187" t="s">
        <v>26</v>
      </c>
      <c r="C10" s="202" t="s">
        <v>27</v>
      </c>
      <c r="D10" s="204" t="s">
        <v>28</v>
      </c>
      <c r="E10" s="199" t="s">
        <v>6</v>
      </c>
      <c r="F10" s="177"/>
      <c r="G10" s="199" t="s">
        <v>7</v>
      </c>
      <c r="H10" s="178"/>
      <c r="I10" s="177"/>
      <c r="J10" s="199" t="s">
        <v>8</v>
      </c>
      <c r="K10" s="177"/>
      <c r="L10" s="60" t="s">
        <v>9</v>
      </c>
    </row>
    <row r="11" spans="1:12" ht="66" thickBot="1">
      <c r="A11" s="61" t="s">
        <v>29</v>
      </c>
      <c r="B11" s="201"/>
      <c r="C11" s="203"/>
      <c r="D11" s="205"/>
      <c r="E11" s="62" t="s">
        <v>30</v>
      </c>
      <c r="F11" s="51" t="s">
        <v>31</v>
      </c>
      <c r="G11" s="62" t="s">
        <v>32</v>
      </c>
      <c r="H11" s="62" t="s">
        <v>33</v>
      </c>
      <c r="I11" s="63" t="s">
        <v>34</v>
      </c>
      <c r="J11" s="64" t="s">
        <v>35</v>
      </c>
      <c r="K11" s="62" t="s">
        <v>31</v>
      </c>
      <c r="L11" s="62" t="s">
        <v>36</v>
      </c>
    </row>
    <row r="12" spans="1:12" ht="12.75" customHeight="1">
      <c r="A12" s="195" t="s">
        <v>37</v>
      </c>
      <c r="B12" s="189">
        <v>0</v>
      </c>
      <c r="C12" s="189">
        <f>B12*2</f>
        <v>0</v>
      </c>
      <c r="D12" s="189">
        <v>11.5</v>
      </c>
      <c r="E12" s="185">
        <f>C12*D12*B$4/453.6</f>
        <v>0</v>
      </c>
      <c r="F12" s="185">
        <f>C12*C$4/453.6</f>
        <v>0</v>
      </c>
      <c r="G12" s="185">
        <f>C12*D12*(D$4+H$4)/453.6</f>
        <v>0</v>
      </c>
      <c r="H12" s="185">
        <f>C12*(E$4+F$4)/453.6</f>
        <v>0</v>
      </c>
      <c r="I12" s="185">
        <f>B12*8*G$4/453.6</f>
        <v>0</v>
      </c>
      <c r="J12" s="185">
        <f>C12*D12*I$4/453.6</f>
        <v>0</v>
      </c>
      <c r="K12" s="182">
        <f>C12*J$4/453.6</f>
        <v>0</v>
      </c>
      <c r="L12" s="185">
        <f>C12*D12*K$4/453.6</f>
        <v>0</v>
      </c>
    </row>
    <row r="13" spans="1:12" ht="13.5" thickBot="1">
      <c r="A13" s="196"/>
      <c r="B13" s="197"/>
      <c r="C13" s="197"/>
      <c r="D13" s="197"/>
      <c r="E13" s="186"/>
      <c r="F13" s="186"/>
      <c r="G13" s="186"/>
      <c r="H13" s="186"/>
      <c r="I13" s="186"/>
      <c r="J13" s="186"/>
      <c r="K13" s="184"/>
      <c r="L13" s="186"/>
    </row>
    <row r="14" spans="1:12" ht="12.75">
      <c r="A14" s="187" t="s">
        <v>21</v>
      </c>
      <c r="B14" s="189">
        <v>0</v>
      </c>
      <c r="C14" s="189">
        <f>B14</f>
        <v>0</v>
      </c>
      <c r="D14" s="189">
        <v>11.5</v>
      </c>
      <c r="E14" s="185">
        <f>C14*D14*B6/453.6</f>
        <v>0</v>
      </c>
      <c r="F14" s="185">
        <f>C14*C5/453.6</f>
        <v>0</v>
      </c>
      <c r="G14" s="185">
        <f>C14*D14*(D6+H6)/453.6</f>
        <v>0</v>
      </c>
      <c r="H14" s="185">
        <f>C14*(E5+F5)/453.6</f>
        <v>0</v>
      </c>
      <c r="I14" s="185">
        <f>B14*8*G5/453.6</f>
        <v>0</v>
      </c>
      <c r="J14" s="185">
        <f>I5*C14*D14/453.6</f>
        <v>0</v>
      </c>
      <c r="K14" s="185">
        <f>J5*C14/453.6</f>
        <v>0</v>
      </c>
      <c r="L14" s="185">
        <f>K5*C14*D14/453.6</f>
        <v>0</v>
      </c>
    </row>
    <row r="15" spans="1:12" ht="13.5" thickBot="1">
      <c r="A15" s="188"/>
      <c r="B15" s="190"/>
      <c r="C15" s="197"/>
      <c r="D15" s="190"/>
      <c r="E15" s="186"/>
      <c r="F15" s="186"/>
      <c r="G15" s="186"/>
      <c r="H15" s="186"/>
      <c r="I15" s="186"/>
      <c r="J15" s="186"/>
      <c r="K15" s="186"/>
      <c r="L15" s="186"/>
    </row>
    <row r="16" spans="1:12" ht="13.5" thickBot="1">
      <c r="A16" s="52" t="s">
        <v>38</v>
      </c>
      <c r="B16" s="53">
        <v>1</v>
      </c>
      <c r="C16" s="57">
        <f>B16*2</f>
        <v>2</v>
      </c>
      <c r="D16" s="57">
        <v>50</v>
      </c>
      <c r="E16" s="65">
        <f>C16*D16*B$6/453.6</f>
        <v>10.747354497354497</v>
      </c>
      <c r="F16" s="65" t="s">
        <v>23</v>
      </c>
      <c r="G16" s="65">
        <f>C16*D16*(D$6+H$6)/453.6</f>
        <v>0.3306878306878307</v>
      </c>
      <c r="H16" s="65">
        <f>C16*(E6+F6)/453.6</f>
        <v>0.011640211640211638</v>
      </c>
      <c r="I16" s="65" t="s">
        <v>23</v>
      </c>
      <c r="J16" s="65">
        <f>C16*D16*I$6/453.6</f>
        <v>4.201940035273368</v>
      </c>
      <c r="K16" s="65">
        <f>J5*C16/453.6</f>
        <v>0.004717813051146384</v>
      </c>
      <c r="L16" s="66">
        <f>K$6*C16*D16/453.6</f>
        <v>0.13447971781305115</v>
      </c>
    </row>
    <row r="17" spans="1:12" ht="15.75" thickBot="1">
      <c r="A17" s="67" t="s">
        <v>106</v>
      </c>
      <c r="B17" s="53">
        <v>0</v>
      </c>
      <c r="C17" s="57">
        <f>B17</f>
        <v>0</v>
      </c>
      <c r="D17" s="57">
        <v>1</v>
      </c>
      <c r="E17" s="65">
        <f>C17*D17*B$6/453.6</f>
        <v>0</v>
      </c>
      <c r="F17" s="65" t="s">
        <v>23</v>
      </c>
      <c r="G17" s="65">
        <f>C17*D17*(D$6+H$6)/453.6</f>
        <v>0</v>
      </c>
      <c r="H17" s="65">
        <f>C17*(E6+F6)/453.6</f>
        <v>0</v>
      </c>
      <c r="I17" s="65" t="s">
        <v>23</v>
      </c>
      <c r="J17" s="65">
        <f>C17*D17*I$6/453.6</f>
        <v>0</v>
      </c>
      <c r="K17" s="65">
        <f>J5*C17/453.6</f>
        <v>0</v>
      </c>
      <c r="L17" s="66">
        <f>K$6*C17*D17/453.6</f>
        <v>0</v>
      </c>
    </row>
    <row r="18" spans="1:12" ht="13.5" thickBot="1">
      <c r="A18" s="68"/>
      <c r="B18" s="45"/>
      <c r="C18" s="45"/>
      <c r="D18" s="45"/>
      <c r="E18" s="69"/>
      <c r="F18" s="69"/>
      <c r="G18" s="69"/>
      <c r="H18" s="69"/>
      <c r="I18" s="69"/>
      <c r="J18" s="69"/>
      <c r="K18" s="69"/>
      <c r="L18" s="69"/>
    </row>
    <row r="19" spans="1:12" ht="13.5" thickBot="1">
      <c r="A19" s="59" t="s">
        <v>29</v>
      </c>
      <c r="B19" s="198" t="s">
        <v>24</v>
      </c>
      <c r="C19" s="178"/>
      <c r="D19" s="177"/>
      <c r="E19" s="176" t="s">
        <v>6</v>
      </c>
      <c r="F19" s="179"/>
      <c r="G19" s="176" t="s">
        <v>7</v>
      </c>
      <c r="H19" s="180"/>
      <c r="I19" s="179"/>
      <c r="J19" s="176" t="s">
        <v>8</v>
      </c>
      <c r="K19" s="179"/>
      <c r="L19" s="70" t="s">
        <v>9</v>
      </c>
    </row>
    <row r="20" spans="1:12" ht="12.75" customHeight="1">
      <c r="A20" s="195" t="s">
        <v>39</v>
      </c>
      <c r="B20" s="189">
        <f>B12</f>
        <v>0</v>
      </c>
      <c r="C20" s="189">
        <f>C12</f>
        <v>0</v>
      </c>
      <c r="D20" s="189"/>
      <c r="E20" s="181">
        <f>E12+F12</f>
        <v>0</v>
      </c>
      <c r="F20" s="182"/>
      <c r="G20" s="181">
        <f>G12+H12+I12</f>
        <v>0</v>
      </c>
      <c r="H20" s="191"/>
      <c r="I20" s="192"/>
      <c r="J20" s="181">
        <f>J12+K12</f>
        <v>0</v>
      </c>
      <c r="K20" s="182"/>
      <c r="L20" s="185">
        <f>L12</f>
        <v>0</v>
      </c>
    </row>
    <row r="21" spans="1:12" ht="13.5" thickBot="1">
      <c r="A21" s="196"/>
      <c r="B21" s="197"/>
      <c r="C21" s="197"/>
      <c r="D21" s="197"/>
      <c r="E21" s="183"/>
      <c r="F21" s="184"/>
      <c r="G21" s="183"/>
      <c r="H21" s="193"/>
      <c r="I21" s="194"/>
      <c r="J21" s="183"/>
      <c r="K21" s="184"/>
      <c r="L21" s="186"/>
    </row>
    <row r="22" spans="1:12" ht="12.75" customHeight="1">
      <c r="A22" s="187" t="s">
        <v>40</v>
      </c>
      <c r="B22" s="189">
        <f>B14</f>
        <v>0</v>
      </c>
      <c r="C22" s="189">
        <f>C14</f>
        <v>0</v>
      </c>
      <c r="D22" s="189"/>
      <c r="E22" s="181">
        <f>E14+F14</f>
        <v>0</v>
      </c>
      <c r="F22" s="182"/>
      <c r="G22" s="181">
        <f>G14+H14+I14</f>
        <v>0</v>
      </c>
      <c r="H22" s="191"/>
      <c r="I22" s="192"/>
      <c r="J22" s="181">
        <f>J14+K14</f>
        <v>0</v>
      </c>
      <c r="K22" s="182"/>
      <c r="L22" s="185">
        <f>L14</f>
        <v>0</v>
      </c>
    </row>
    <row r="23" spans="1:12" ht="15.75" customHeight="1" thickBot="1">
      <c r="A23" s="188"/>
      <c r="B23" s="190"/>
      <c r="C23" s="190"/>
      <c r="D23" s="190"/>
      <c r="E23" s="183"/>
      <c r="F23" s="184"/>
      <c r="G23" s="183"/>
      <c r="H23" s="193"/>
      <c r="I23" s="194"/>
      <c r="J23" s="183"/>
      <c r="K23" s="184"/>
      <c r="L23" s="186"/>
    </row>
    <row r="24" spans="1:12" ht="27.75" customHeight="1" thickBot="1">
      <c r="A24" s="71" t="s">
        <v>41</v>
      </c>
      <c r="B24" s="57">
        <f>B17+B16</f>
        <v>1</v>
      </c>
      <c r="C24" s="57">
        <f>+C16+C17</f>
        <v>2</v>
      </c>
      <c r="D24" s="57"/>
      <c r="E24" s="176">
        <f>+E16+E17</f>
        <v>10.747354497354497</v>
      </c>
      <c r="F24" s="179"/>
      <c r="G24" s="176">
        <f>G16+G17+H16+H17</f>
        <v>0.3423280423280423</v>
      </c>
      <c r="H24" s="180"/>
      <c r="I24" s="179"/>
      <c r="J24" s="176">
        <f>J17+J16+K16+K17</f>
        <v>4.2066578483245145</v>
      </c>
      <c r="K24" s="179"/>
      <c r="L24" s="66">
        <f>L17+L16</f>
        <v>0.13447971781305115</v>
      </c>
    </row>
    <row r="25" spans="1:12" ht="13.5" thickBot="1">
      <c r="A25" s="60" t="s">
        <v>42</v>
      </c>
      <c r="B25" s="56"/>
      <c r="C25" s="68"/>
      <c r="D25" s="72"/>
      <c r="E25" s="176">
        <f>SUM(E20:F24)</f>
        <v>10.747354497354497</v>
      </c>
      <c r="F25" s="177"/>
      <c r="G25" s="176">
        <f>SUM(G20:I24)</f>
        <v>0.3423280423280423</v>
      </c>
      <c r="H25" s="178"/>
      <c r="I25" s="177"/>
      <c r="J25" s="176">
        <f>SUM(J20:K24)</f>
        <v>4.2066578483245145</v>
      </c>
      <c r="K25" s="177"/>
      <c r="L25" s="65">
        <f>SUM(L20:L24)</f>
        <v>0.13447971781305115</v>
      </c>
    </row>
    <row r="27" ht="12.75">
      <c r="A27" s="40" t="s">
        <v>107</v>
      </c>
    </row>
    <row r="28" ht="12.75">
      <c r="A28" s="40" t="s">
        <v>43</v>
      </c>
    </row>
    <row r="29" ht="12.75">
      <c r="A29" s="40" t="s">
        <v>44</v>
      </c>
    </row>
    <row r="30" ht="12.75">
      <c r="A30" s="40" t="s">
        <v>45</v>
      </c>
    </row>
    <row r="31" ht="12.75">
      <c r="A31" s="40" t="s">
        <v>46</v>
      </c>
    </row>
    <row r="32" ht="12.75">
      <c r="L32" s="73">
        <f ca="1">TODAY()</f>
        <v>41857</v>
      </c>
    </row>
    <row r="33" ht="12.75">
      <c r="A33" s="40"/>
    </row>
    <row r="35" ht="12.75">
      <c r="A35" s="125" t="s">
        <v>126</v>
      </c>
    </row>
    <row r="36" ht="12.75">
      <c r="L36" s="73"/>
    </row>
  </sheetData>
  <sheetProtection/>
  <mergeCells count="61">
    <mergeCell ref="E25:F25"/>
    <mergeCell ref="G25:I25"/>
    <mergeCell ref="J25:K25"/>
    <mergeCell ref="E24:F24"/>
    <mergeCell ref="G24:I24"/>
    <mergeCell ref="J24:K24"/>
    <mergeCell ref="G22:I23"/>
    <mergeCell ref="J22:K23"/>
    <mergeCell ref="E22:F23"/>
    <mergeCell ref="L22:L23"/>
    <mergeCell ref="A22:A23"/>
    <mergeCell ref="B22:B23"/>
    <mergeCell ref="C22:C23"/>
    <mergeCell ref="D22:D23"/>
    <mergeCell ref="E20:F21"/>
    <mergeCell ref="G20:I21"/>
    <mergeCell ref="J20:K21"/>
    <mergeCell ref="L20:L21"/>
    <mergeCell ref="A20:A21"/>
    <mergeCell ref="B20:B21"/>
    <mergeCell ref="C20:C21"/>
    <mergeCell ref="D20:D21"/>
    <mergeCell ref="F14:F15"/>
    <mergeCell ref="G14:G15"/>
    <mergeCell ref="L14:L15"/>
    <mergeCell ref="B19:D19"/>
    <mergeCell ref="E19:F19"/>
    <mergeCell ref="G19:I19"/>
    <mergeCell ref="J19:K19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A2:A3"/>
    <mergeCell ref="B2:C2"/>
    <mergeCell ref="D2:H2"/>
    <mergeCell ref="B9:D9"/>
    <mergeCell ref="B10:B11"/>
    <mergeCell ref="A12:A13"/>
    <mergeCell ref="B12:B13"/>
    <mergeCell ref="C12:C13"/>
    <mergeCell ref="D12:D13"/>
    <mergeCell ref="J10:K10"/>
    <mergeCell ref="J12:J13"/>
    <mergeCell ref="K12:K13"/>
    <mergeCell ref="C10:C11"/>
    <mergeCell ref="D10:D11"/>
    <mergeCell ref="E9:L9"/>
    <mergeCell ref="E10:F10"/>
    <mergeCell ref="E12:E13"/>
    <mergeCell ref="F12:F13"/>
    <mergeCell ref="G10:I10"/>
    <mergeCell ref="G12:G13"/>
    <mergeCell ref="H12:H13"/>
    <mergeCell ref="I12:I13"/>
    <mergeCell ref="L12:L13"/>
  </mergeCells>
  <printOptions horizontalCentered="1"/>
  <pageMargins left="0.75" right="0.75" top="1" bottom="1" header="0.5" footer="0.5"/>
  <pageSetup firstPageNumber="3" useFirstPageNumber="1" fitToHeight="1" fitToWidth="1" horizontalDpi="600" verticalDpi="600" orientation="landscape" scale="82" r:id="rId1"/>
  <headerFooter alignWithMargins="0">
    <oddHeader>&amp;C&amp;"Arial,Bold"&amp;12Table A-6
Operational Truck Emissions
Paramount Refinery Cogeneration Project</oddHeader>
    <oddFooter>&amp;CA-6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1">
      <selection activeCell="A3" sqref="A3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10" ht="17.25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7.25">
      <c r="A2" s="206" t="s">
        <v>153</v>
      </c>
      <c r="B2" s="206"/>
      <c r="C2" s="206"/>
      <c r="D2" s="206"/>
      <c r="E2" s="206"/>
      <c r="F2" s="206"/>
      <c r="G2" s="206"/>
      <c r="H2" s="206"/>
      <c r="I2" s="206"/>
      <c r="J2" s="206"/>
    </row>
    <row r="3" ht="13.5" thickBot="1"/>
    <row r="4" spans="1:10" ht="39.75" thickBot="1">
      <c r="A4" s="199" t="s">
        <v>50</v>
      </c>
      <c r="B4" s="178"/>
      <c r="C4" s="68"/>
      <c r="D4" s="44" t="s">
        <v>51</v>
      </c>
      <c r="E4" s="45"/>
      <c r="F4" s="45" t="s">
        <v>52</v>
      </c>
      <c r="G4" s="74" t="s">
        <v>53</v>
      </c>
      <c r="H4" s="74" t="s">
        <v>54</v>
      </c>
      <c r="I4" s="75" t="s">
        <v>55</v>
      </c>
      <c r="J4" s="76" t="s">
        <v>56</v>
      </c>
    </row>
    <row r="5" spans="1:10" ht="12.75">
      <c r="A5" s="67"/>
      <c r="B5" s="42"/>
      <c r="C5" s="42"/>
      <c r="D5" s="77"/>
      <c r="E5" s="42"/>
      <c r="F5" s="42"/>
      <c r="G5" s="42"/>
      <c r="H5" s="42"/>
      <c r="I5" s="42"/>
      <c r="J5" s="78"/>
    </row>
    <row r="6" spans="1:10" ht="12.75">
      <c r="A6" s="59" t="s">
        <v>57</v>
      </c>
      <c r="B6" s="42"/>
      <c r="C6" s="42"/>
      <c r="D6" s="77"/>
      <c r="E6" s="42"/>
      <c r="F6" s="42"/>
      <c r="G6" s="42"/>
      <c r="H6" s="42"/>
      <c r="I6" s="42"/>
      <c r="J6" s="79"/>
    </row>
    <row r="7" spans="1:10" ht="12.75">
      <c r="A7" s="59" t="s">
        <v>58</v>
      </c>
      <c r="B7" s="42"/>
      <c r="D7" s="80">
        <v>0</v>
      </c>
      <c r="E7" s="81"/>
      <c r="F7" s="81" t="s">
        <v>59</v>
      </c>
      <c r="G7" s="81">
        <v>2</v>
      </c>
      <c r="H7" s="81">
        <v>11.5</v>
      </c>
      <c r="I7" s="42">
        <v>0.000856</v>
      </c>
      <c r="J7" s="124">
        <f>D7*G7*H7*I7</f>
        <v>0</v>
      </c>
    </row>
    <row r="8" spans="1:10" ht="12.75">
      <c r="A8" s="59" t="s">
        <v>101</v>
      </c>
      <c r="B8" s="42"/>
      <c r="C8" s="42"/>
      <c r="D8" s="77"/>
      <c r="E8" s="42"/>
      <c r="F8" s="42"/>
      <c r="G8" s="42"/>
      <c r="H8" s="42"/>
      <c r="I8" s="42"/>
      <c r="J8" s="79"/>
    </row>
    <row r="9" spans="1:10" ht="12.75">
      <c r="A9" s="59"/>
      <c r="B9" s="42"/>
      <c r="C9" s="42"/>
      <c r="D9" s="77"/>
      <c r="E9" s="42"/>
      <c r="F9" s="42"/>
      <c r="G9" s="42"/>
      <c r="H9" s="42"/>
      <c r="I9" s="42"/>
      <c r="J9" s="79"/>
    </row>
    <row r="10" spans="1:10" ht="12.75">
      <c r="A10" s="59" t="s">
        <v>60</v>
      </c>
      <c r="B10" s="42"/>
      <c r="C10" s="42"/>
      <c r="D10" s="80">
        <v>0</v>
      </c>
      <c r="E10" s="81"/>
      <c r="F10" s="81" t="s">
        <v>59</v>
      </c>
      <c r="G10" s="81">
        <v>2</v>
      </c>
      <c r="H10" s="81">
        <v>11.5</v>
      </c>
      <c r="I10" s="42">
        <v>0.0026</v>
      </c>
      <c r="J10" s="82">
        <f>D10*G10*H10*I10</f>
        <v>0</v>
      </c>
    </row>
    <row r="11" spans="1:10" ht="12.75">
      <c r="A11" s="59" t="s">
        <v>101</v>
      </c>
      <c r="B11" s="42"/>
      <c r="C11" s="42"/>
      <c r="D11" s="77"/>
      <c r="E11" s="42"/>
      <c r="F11" s="42"/>
      <c r="G11" s="42"/>
      <c r="H11" s="42"/>
      <c r="I11" s="42"/>
      <c r="J11" s="79"/>
    </row>
    <row r="12" spans="1:10" ht="12.75">
      <c r="A12" s="59"/>
      <c r="B12" s="42"/>
      <c r="C12" s="42"/>
      <c r="D12" s="77"/>
      <c r="E12" s="42"/>
      <c r="F12" s="42"/>
      <c r="G12" s="42"/>
      <c r="H12" s="42"/>
      <c r="I12" s="42"/>
      <c r="J12" s="79"/>
    </row>
    <row r="13" spans="1:10" ht="12.75">
      <c r="A13" s="59" t="s">
        <v>60</v>
      </c>
      <c r="B13" s="42"/>
      <c r="C13" s="42"/>
      <c r="D13" s="80">
        <v>1</v>
      </c>
      <c r="E13" s="81"/>
      <c r="F13" s="81" t="s">
        <v>61</v>
      </c>
      <c r="G13" s="81">
        <v>2</v>
      </c>
      <c r="H13" s="81">
        <v>50</v>
      </c>
      <c r="I13" s="42">
        <v>0.0206</v>
      </c>
      <c r="J13" s="82">
        <f>D13*G13*H13*I13</f>
        <v>2.06</v>
      </c>
    </row>
    <row r="14" spans="1:10" ht="12.75">
      <c r="A14" s="59" t="s">
        <v>101</v>
      </c>
      <c r="B14" s="42"/>
      <c r="C14" s="42"/>
      <c r="D14" s="77"/>
      <c r="E14" s="42"/>
      <c r="F14" s="42"/>
      <c r="G14" s="42"/>
      <c r="H14" s="42"/>
      <c r="I14" s="42"/>
      <c r="J14" s="79"/>
    </row>
    <row r="15" spans="1:10" ht="12.75">
      <c r="A15" s="59"/>
      <c r="B15" s="42"/>
      <c r="C15" s="42"/>
      <c r="D15" s="80"/>
      <c r="E15" s="81"/>
      <c r="F15" s="81"/>
      <c r="G15" s="81"/>
      <c r="H15" s="81"/>
      <c r="I15" s="42"/>
      <c r="J15" s="82"/>
    </row>
    <row r="16" spans="1:10" ht="13.5" thickBot="1">
      <c r="A16" s="59" t="s">
        <v>62</v>
      </c>
      <c r="B16" s="42"/>
      <c r="C16" s="42"/>
      <c r="D16" s="80">
        <v>0</v>
      </c>
      <c r="E16" s="81"/>
      <c r="F16" s="81" t="s">
        <v>61</v>
      </c>
      <c r="G16" s="81">
        <v>1</v>
      </c>
      <c r="H16" s="81">
        <v>1</v>
      </c>
      <c r="I16" s="42">
        <v>1.6</v>
      </c>
      <c r="J16" s="82">
        <f>D16*G16*H16*I16</f>
        <v>0</v>
      </c>
    </row>
    <row r="17" spans="1:10" ht="13.5" thickBot="1">
      <c r="A17" s="56" t="s">
        <v>63</v>
      </c>
      <c r="B17" s="68"/>
      <c r="C17" s="68"/>
      <c r="D17" s="44">
        <f>SUM(D7:D16)</f>
        <v>1</v>
      </c>
      <c r="E17" s="68"/>
      <c r="F17" s="68"/>
      <c r="G17" s="68"/>
      <c r="H17" s="68"/>
      <c r="I17" s="68"/>
      <c r="J17" s="123">
        <f>SUM(J7:J16)</f>
        <v>2.06</v>
      </c>
    </row>
    <row r="19" ht="12.75">
      <c r="A19" s="40" t="s">
        <v>108</v>
      </c>
    </row>
    <row r="20" ht="12.75">
      <c r="A20" s="40" t="s">
        <v>109</v>
      </c>
    </row>
    <row r="21" spans="1:2" ht="12.75">
      <c r="A21" s="40" t="s">
        <v>110</v>
      </c>
      <c r="B21" s="40"/>
    </row>
    <row r="22" spans="1:2" ht="12.75">
      <c r="A22" s="40" t="s">
        <v>111</v>
      </c>
      <c r="B22" s="40"/>
    </row>
    <row r="23" spans="1:10" ht="12.75">
      <c r="A23" s="40" t="s">
        <v>112</v>
      </c>
      <c r="B23" s="40"/>
      <c r="J23" s="73">
        <f ca="1">(TODAY())</f>
        <v>41857</v>
      </c>
    </row>
    <row r="24" spans="1:2" ht="12.75">
      <c r="A24" s="40" t="s">
        <v>113</v>
      </c>
      <c r="B24" s="40"/>
    </row>
    <row r="25" spans="1:2" ht="12.75">
      <c r="A25" s="40"/>
      <c r="B25" s="40"/>
    </row>
    <row r="26" spans="1:2" ht="12.75">
      <c r="A26" s="40" t="s">
        <v>114</v>
      </c>
      <c r="B26" s="40"/>
    </row>
    <row r="27" spans="1:2" ht="12.75">
      <c r="A27" s="40" t="s">
        <v>115</v>
      </c>
      <c r="B27" s="40"/>
    </row>
    <row r="28" ht="12.75">
      <c r="A28" s="40" t="s">
        <v>116</v>
      </c>
    </row>
    <row r="29" ht="12.75">
      <c r="A29" s="40" t="s">
        <v>117</v>
      </c>
    </row>
    <row r="31" ht="12.75">
      <c r="A31" s="125" t="s">
        <v>127</v>
      </c>
    </row>
  </sheetData>
  <sheetProtection/>
  <mergeCells count="3">
    <mergeCell ref="A4:B4"/>
    <mergeCell ref="A1:J1"/>
    <mergeCell ref="A2:J2"/>
  </mergeCells>
  <printOptions horizontalCentered="1"/>
  <pageMargins left="0.75" right="0.75" top="1" bottom="1" header="0.5" footer="0.5"/>
  <pageSetup horizontalDpi="300" verticalDpi="300" orientation="landscape" r:id="rId1"/>
  <headerFooter alignWithMargins="0">
    <oddHeader>&amp;C&amp;"Arial,Bold"&amp;12TABLE A-7
</oddHeader>
    <oddFooter>&amp;CA-7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79"/>
  <sheetViews>
    <sheetView zoomScalePageLayoutView="0" workbookViewId="0" topLeftCell="A43">
      <selection activeCell="C25" sqref="C25"/>
    </sheetView>
  </sheetViews>
  <sheetFormatPr defaultColWidth="9.140625" defaultRowHeight="12.75"/>
  <cols>
    <col min="1" max="1" width="25.57421875" style="0" customWidth="1"/>
    <col min="2" max="2" width="12.421875" style="0" customWidth="1"/>
    <col min="3" max="4" width="11.8515625" style="0" customWidth="1"/>
    <col min="5" max="5" width="11.57421875" style="0" customWidth="1"/>
    <col min="6" max="6" width="10.7109375" style="0" customWidth="1"/>
    <col min="7" max="7" width="9.57421875" style="0" customWidth="1"/>
    <col min="8" max="8" width="10.28125" style="0" customWidth="1"/>
    <col min="9" max="9" width="9.7109375" style="0" customWidth="1"/>
    <col min="10" max="10" width="11.28125" style="0" customWidth="1"/>
    <col min="12" max="12" width="14.28125" style="0" customWidth="1"/>
    <col min="13" max="13" width="10.57421875" style="0" customWidth="1"/>
    <col min="14" max="14" width="9.7109375" style="0" customWidth="1"/>
    <col min="15" max="15" width="12.8515625" style="0" customWidth="1"/>
    <col min="16" max="16" width="9.7109375" style="0" customWidth="1"/>
  </cols>
  <sheetData>
    <row r="1" spans="1:3" ht="12.75">
      <c r="A1" t="s">
        <v>156</v>
      </c>
      <c r="B1">
        <f>C4+C5</f>
        <v>140</v>
      </c>
      <c r="C1" t="s">
        <v>157</v>
      </c>
    </row>
    <row r="2" spans="2:3" ht="12.75">
      <c r="B2">
        <v>1015</v>
      </c>
      <c r="C2" t="s">
        <v>158</v>
      </c>
    </row>
    <row r="3" ht="7.5" customHeight="1"/>
    <row r="4" spans="1:10" ht="12.75">
      <c r="A4" t="s">
        <v>159</v>
      </c>
      <c r="C4">
        <v>90</v>
      </c>
      <c r="D4" t="s">
        <v>157</v>
      </c>
      <c r="E4">
        <f>C4*8760</f>
        <v>788400</v>
      </c>
      <c r="F4" t="s">
        <v>160</v>
      </c>
      <c r="G4">
        <f>C4/B2</f>
        <v>0.08866995073891626</v>
      </c>
      <c r="H4" t="s">
        <v>161</v>
      </c>
      <c r="I4">
        <f>G4*8760</f>
        <v>776.7487684729065</v>
      </c>
      <c r="J4" t="s">
        <v>162</v>
      </c>
    </row>
    <row r="5" spans="1:10" ht="12.75">
      <c r="A5" t="s">
        <v>163</v>
      </c>
      <c r="C5">
        <v>50</v>
      </c>
      <c r="D5" t="s">
        <v>157</v>
      </c>
      <c r="E5">
        <f>C5*8760</f>
        <v>438000</v>
      </c>
      <c r="F5" t="s">
        <v>160</v>
      </c>
      <c r="G5">
        <f>C5/B2</f>
        <v>0.04926108374384237</v>
      </c>
      <c r="H5" t="s">
        <v>161</v>
      </c>
      <c r="I5">
        <f>G5*8760</f>
        <v>431.52709359605916</v>
      </c>
      <c r="J5" t="s">
        <v>162</v>
      </c>
    </row>
    <row r="7" ht="12.75">
      <c r="A7" s="139" t="s">
        <v>164</v>
      </c>
    </row>
    <row r="8" spans="1:9" ht="12.75">
      <c r="A8" s="140"/>
      <c r="B8" s="223" t="s">
        <v>159</v>
      </c>
      <c r="C8" s="223"/>
      <c r="D8" s="223"/>
      <c r="E8" s="223" t="s">
        <v>163</v>
      </c>
      <c r="F8" s="223"/>
      <c r="G8" s="224"/>
      <c r="H8" s="140"/>
      <c r="I8" s="140"/>
    </row>
    <row r="9" spans="1:9" ht="52.5">
      <c r="A9" s="19"/>
      <c r="B9" s="141" t="s">
        <v>237</v>
      </c>
      <c r="C9" s="142" t="s">
        <v>165</v>
      </c>
      <c r="D9" s="142" t="s">
        <v>166</v>
      </c>
      <c r="E9" s="142" t="s">
        <v>238</v>
      </c>
      <c r="F9" s="142" t="s">
        <v>165</v>
      </c>
      <c r="G9" s="143" t="s">
        <v>166</v>
      </c>
      <c r="H9" s="144" t="s">
        <v>167</v>
      </c>
      <c r="I9" s="144" t="s">
        <v>168</v>
      </c>
    </row>
    <row r="10" spans="1:9" ht="15">
      <c r="A10" s="24" t="s">
        <v>239</v>
      </c>
      <c r="B10" s="145">
        <v>0.32</v>
      </c>
      <c r="C10" s="146">
        <f aca="true" t="shared" si="0" ref="C10:C15">B10*$E$4</f>
        <v>252288</v>
      </c>
      <c r="D10" s="146">
        <f aca="true" t="shared" si="1" ref="D10:D15">C10/365</f>
        <v>691.2</v>
      </c>
      <c r="E10" s="24">
        <v>100</v>
      </c>
      <c r="F10" s="146">
        <f aca="true" t="shared" si="2" ref="F10:F15">E10*$I$5</f>
        <v>43152.70935960591</v>
      </c>
      <c r="G10" s="146">
        <f aca="true" t="shared" si="3" ref="G10:G15">F10/365</f>
        <v>118.22660098522168</v>
      </c>
      <c r="H10" s="147">
        <f aca="true" t="shared" si="4" ref="H10:H15">C10+F10</f>
        <v>295440.7093596059</v>
      </c>
      <c r="I10" s="24">
        <f aca="true" t="shared" si="5" ref="I10:I15">H10/365</f>
        <v>809.4266009852216</v>
      </c>
    </row>
    <row r="11" spans="1:9" ht="12.75">
      <c r="A11" s="24" t="s">
        <v>7</v>
      </c>
      <c r="B11" s="145">
        <v>0.0021</v>
      </c>
      <c r="C11" s="146">
        <f t="shared" si="0"/>
        <v>1655.6399999999999</v>
      </c>
      <c r="D11" s="146">
        <f t="shared" si="1"/>
        <v>4.536</v>
      </c>
      <c r="E11" s="24">
        <v>5.5</v>
      </c>
      <c r="F11" s="146">
        <f t="shared" si="2"/>
        <v>2373.399014778325</v>
      </c>
      <c r="G11" s="146">
        <f t="shared" si="3"/>
        <v>6.502463054187192</v>
      </c>
      <c r="H11" s="146">
        <f t="shared" si="4"/>
        <v>4029.039014778325</v>
      </c>
      <c r="I11" s="24">
        <f t="shared" si="5"/>
        <v>11.038463054187192</v>
      </c>
    </row>
    <row r="12" spans="1:9" ht="12.75">
      <c r="A12" s="24" t="s">
        <v>6</v>
      </c>
      <c r="B12" s="145">
        <v>0.082</v>
      </c>
      <c r="C12" s="146">
        <f t="shared" si="0"/>
        <v>64648.8</v>
      </c>
      <c r="D12" s="146">
        <f t="shared" si="1"/>
        <v>177.12</v>
      </c>
      <c r="E12" s="24">
        <v>84</v>
      </c>
      <c r="F12" s="146">
        <f t="shared" si="2"/>
        <v>36248.27586206897</v>
      </c>
      <c r="G12" s="146">
        <f t="shared" si="3"/>
        <v>99.31034482758622</v>
      </c>
      <c r="H12" s="146">
        <f t="shared" si="4"/>
        <v>100897.07586206897</v>
      </c>
      <c r="I12" s="24">
        <f t="shared" si="5"/>
        <v>276.4303448275862</v>
      </c>
    </row>
    <row r="13" spans="1:9" ht="15">
      <c r="A13" s="24" t="s">
        <v>240</v>
      </c>
      <c r="B13" s="145">
        <v>0.0034</v>
      </c>
      <c r="C13" s="146">
        <f t="shared" si="0"/>
        <v>2680.56</v>
      </c>
      <c r="D13" s="146">
        <f t="shared" si="1"/>
        <v>7.343999999999999</v>
      </c>
      <c r="E13" s="24">
        <v>0.6</v>
      </c>
      <c r="F13" s="146">
        <f t="shared" si="2"/>
        <v>258.9162561576355</v>
      </c>
      <c r="G13" s="146">
        <f t="shared" si="3"/>
        <v>0.7093596059113301</v>
      </c>
      <c r="H13" s="146">
        <f t="shared" si="4"/>
        <v>2939.4762561576354</v>
      </c>
      <c r="I13" s="24">
        <f t="shared" si="5"/>
        <v>8.05335960591133</v>
      </c>
    </row>
    <row r="14" spans="1:9" ht="12.75">
      <c r="A14" s="24" t="s">
        <v>9</v>
      </c>
      <c r="B14" s="145">
        <v>0.0066</v>
      </c>
      <c r="C14" s="146">
        <f t="shared" si="0"/>
        <v>5203.44</v>
      </c>
      <c r="D14" s="146">
        <f t="shared" si="1"/>
        <v>14.255999999999998</v>
      </c>
      <c r="E14" s="24">
        <v>7.6</v>
      </c>
      <c r="F14" s="146">
        <f t="shared" si="2"/>
        <v>3279.6059113300494</v>
      </c>
      <c r="G14" s="146">
        <f t="shared" si="3"/>
        <v>8.985221674876847</v>
      </c>
      <c r="H14" s="146">
        <f t="shared" si="4"/>
        <v>8483.04591133005</v>
      </c>
      <c r="I14" s="24">
        <f t="shared" si="5"/>
        <v>23.241221674876847</v>
      </c>
    </row>
    <row r="15" spans="1:9" ht="12.75">
      <c r="A15" s="24" t="s">
        <v>169</v>
      </c>
      <c r="B15" s="148">
        <v>0.0086</v>
      </c>
      <c r="C15" s="146">
        <f t="shared" si="0"/>
        <v>6780.24</v>
      </c>
      <c r="D15" s="146">
        <f t="shared" si="1"/>
        <v>18.576</v>
      </c>
      <c r="E15" s="24">
        <v>2.3</v>
      </c>
      <c r="F15" s="146">
        <f t="shared" si="2"/>
        <v>992.512315270936</v>
      </c>
      <c r="G15" s="146">
        <f t="shared" si="3"/>
        <v>2.7192118226600988</v>
      </c>
      <c r="H15" s="146">
        <f t="shared" si="4"/>
        <v>7772.7523152709355</v>
      </c>
      <c r="I15" s="24">
        <f t="shared" si="5"/>
        <v>21.295211822660097</v>
      </c>
    </row>
    <row r="16" ht="6" customHeight="1"/>
    <row r="17" ht="12.75">
      <c r="A17" s="149" t="s">
        <v>170</v>
      </c>
    </row>
    <row r="18" ht="12.75">
      <c r="A18" s="149" t="s">
        <v>171</v>
      </c>
    </row>
    <row r="20" ht="12.75">
      <c r="A20" s="139" t="s">
        <v>69</v>
      </c>
    </row>
    <row r="21" spans="1:2" ht="26.25">
      <c r="A21" s="141" t="s">
        <v>172</v>
      </c>
      <c r="B21" s="141" t="s">
        <v>166</v>
      </c>
    </row>
    <row r="22" spans="1:2" ht="16.5">
      <c r="A22" s="24" t="s">
        <v>241</v>
      </c>
      <c r="B22" s="24">
        <f>E36</f>
        <v>30.96</v>
      </c>
    </row>
    <row r="23" spans="1:2" ht="12.75">
      <c r="A23" s="24" t="s">
        <v>7</v>
      </c>
      <c r="B23" s="146">
        <f>D11+G11</f>
        <v>11.038463054187192</v>
      </c>
    </row>
    <row r="24" spans="1:2" ht="15">
      <c r="A24" s="24" t="s">
        <v>242</v>
      </c>
      <c r="B24" s="146">
        <f>I40</f>
        <v>45.263999999999996</v>
      </c>
    </row>
    <row r="25" spans="1:2" ht="15">
      <c r="A25" s="24" t="s">
        <v>240</v>
      </c>
      <c r="B25" s="146">
        <f>D13+G13</f>
        <v>8.053359605911329</v>
      </c>
    </row>
    <row r="26" spans="1:2" ht="12.75">
      <c r="A26" s="24" t="s">
        <v>9</v>
      </c>
      <c r="B26" s="146">
        <f>D14+G14</f>
        <v>23.241221674876847</v>
      </c>
    </row>
    <row r="28" s="151" customFormat="1" ht="11.25">
      <c r="A28" s="150" t="s">
        <v>243</v>
      </c>
    </row>
    <row r="29" spans="1:2" s="40" customFormat="1" ht="12">
      <c r="A29" s="152" t="s">
        <v>244</v>
      </c>
      <c r="B29" s="152"/>
    </row>
    <row r="30" spans="1:11" s="40" customFormat="1" ht="15" customHeight="1">
      <c r="A30" s="153" t="s">
        <v>173</v>
      </c>
      <c r="B30" s="40" t="s">
        <v>245</v>
      </c>
      <c r="E30" s="226" t="s">
        <v>246</v>
      </c>
      <c r="F30" s="226"/>
      <c r="G30" s="226"/>
      <c r="H30" s="226"/>
      <c r="I30" s="226"/>
      <c r="J30" s="226"/>
      <c r="K30" s="154"/>
    </row>
    <row r="31" spans="2:11" s="40" customFormat="1" ht="15.75" customHeight="1">
      <c r="B31" s="40" t="s">
        <v>247</v>
      </c>
      <c r="E31" s="226"/>
      <c r="F31" s="226"/>
      <c r="G31" s="226"/>
      <c r="H31" s="226"/>
      <c r="I31" s="226"/>
      <c r="J31" s="226"/>
      <c r="K31" s="154"/>
    </row>
    <row r="32" spans="2:5" s="40" customFormat="1" ht="12">
      <c r="B32" s="40" t="s">
        <v>248</v>
      </c>
      <c r="E32" s="40" t="s">
        <v>249</v>
      </c>
    </row>
    <row r="33" s="40" customFormat="1" ht="12">
      <c r="E33" s="40" t="s">
        <v>250</v>
      </c>
    </row>
    <row r="34" s="40" customFormat="1" ht="9.75"/>
    <row r="35" spans="1:2" s="40" customFormat="1" ht="12">
      <c r="A35" s="152" t="s">
        <v>251</v>
      </c>
      <c r="B35" s="152"/>
    </row>
    <row r="36" spans="1:6" s="40" customFormat="1" ht="12">
      <c r="A36" s="153" t="s">
        <v>252</v>
      </c>
      <c r="B36" s="40">
        <v>1.29</v>
      </c>
      <c r="C36" s="40" t="s">
        <v>174</v>
      </c>
      <c r="D36" s="155" t="s">
        <v>175</v>
      </c>
      <c r="E36" s="40">
        <f>B36*24</f>
        <v>30.96</v>
      </c>
      <c r="F36" s="40" t="s">
        <v>176</v>
      </c>
    </row>
    <row r="38" s="40" customFormat="1" ht="9.75">
      <c r="A38" s="150" t="s">
        <v>177</v>
      </c>
    </row>
    <row r="39" spans="1:6" s="40" customFormat="1" ht="12">
      <c r="A39" s="40" t="s">
        <v>178</v>
      </c>
      <c r="E39" s="152" t="s">
        <v>253</v>
      </c>
      <c r="F39" s="155"/>
    </row>
    <row r="40" spans="5:10" ht="13.5">
      <c r="E40" s="153" t="s">
        <v>252</v>
      </c>
      <c r="F40" s="40">
        <v>1.886</v>
      </c>
      <c r="G40" s="40" t="s">
        <v>179</v>
      </c>
      <c r="H40" s="152" t="s">
        <v>180</v>
      </c>
      <c r="I40" s="156">
        <f>F40*24</f>
        <v>45.263999999999996</v>
      </c>
      <c r="J40" s="40" t="s">
        <v>181</v>
      </c>
    </row>
    <row r="41" ht="12.75">
      <c r="A41" s="139" t="s">
        <v>182</v>
      </c>
    </row>
    <row r="42" spans="1:15" ht="12.75">
      <c r="A42" s="140"/>
      <c r="B42" s="225" t="s">
        <v>159</v>
      </c>
      <c r="C42" s="223"/>
      <c r="D42" s="223"/>
      <c r="E42" s="223" t="s">
        <v>163</v>
      </c>
      <c r="F42" s="223"/>
      <c r="G42" s="224"/>
      <c r="H42" s="157"/>
      <c r="I42" s="140"/>
      <c r="J42" s="158"/>
      <c r="L42" s="222" t="s">
        <v>183</v>
      </c>
      <c r="M42" s="222"/>
      <c r="N42" s="222"/>
      <c r="O42" s="222"/>
    </row>
    <row r="43" spans="1:22" ht="39" customHeight="1">
      <c r="A43" s="19" t="s">
        <v>184</v>
      </c>
      <c r="B43" s="159" t="s">
        <v>237</v>
      </c>
      <c r="C43" s="160" t="s">
        <v>165</v>
      </c>
      <c r="D43" s="160" t="s">
        <v>166</v>
      </c>
      <c r="E43" s="160" t="s">
        <v>238</v>
      </c>
      <c r="F43" s="160" t="s">
        <v>165</v>
      </c>
      <c r="G43" s="161" t="s">
        <v>166</v>
      </c>
      <c r="H43" s="162" t="s">
        <v>185</v>
      </c>
      <c r="I43" s="163" t="s">
        <v>186</v>
      </c>
      <c r="J43" s="164" t="s">
        <v>187</v>
      </c>
      <c r="L43" s="165" t="s">
        <v>188</v>
      </c>
      <c r="M43" s="165" t="s">
        <v>165</v>
      </c>
      <c r="N43" s="166" t="s">
        <v>166</v>
      </c>
      <c r="O43" s="166" t="s">
        <v>186</v>
      </c>
      <c r="P43" s="166" t="s">
        <v>187</v>
      </c>
      <c r="Q43" t="s">
        <v>189</v>
      </c>
      <c r="R43" t="s">
        <v>190</v>
      </c>
      <c r="V43" s="166" t="s">
        <v>191</v>
      </c>
    </row>
    <row r="44" spans="1:22" ht="15">
      <c r="A44" s="167" t="s">
        <v>192</v>
      </c>
      <c r="B44" s="145" t="s">
        <v>193</v>
      </c>
      <c r="C44" s="148">
        <f>VALUE(MID(B44,2,6))*$E$4</f>
        <v>0.33901200000000004</v>
      </c>
      <c r="D44" s="148">
        <f aca="true" t="shared" si="6" ref="D44:D54">C44/365</f>
        <v>0.0009288000000000001</v>
      </c>
      <c r="E44" s="122" t="s">
        <v>254</v>
      </c>
      <c r="F44" s="24"/>
      <c r="G44" s="24"/>
      <c r="H44" s="148">
        <f aca="true" t="shared" si="7" ref="H44:H56">C44+F44</f>
        <v>0.33901200000000004</v>
      </c>
      <c r="I44" s="148">
        <f aca="true" t="shared" si="8" ref="I44:I56">H44/365</f>
        <v>0.0009288000000000001</v>
      </c>
      <c r="J44" s="148">
        <f aca="true" t="shared" si="9" ref="J44:J57">H44*453.6/8760/3600</f>
        <v>4.876200000000001E-06</v>
      </c>
      <c r="L44" t="s">
        <v>194</v>
      </c>
      <c r="O44" s="168">
        <f aca="true" t="shared" si="10" ref="O44:O75">D44+N44</f>
        <v>0.0009288000000000001</v>
      </c>
      <c r="P44" s="168">
        <f aca="true" t="shared" si="11" ref="P44:P50">O44/24/3600*453.6</f>
        <v>4.876200000000001E-06</v>
      </c>
      <c r="Q44" s="169">
        <v>20</v>
      </c>
      <c r="V44" s="168">
        <f aca="true" t="shared" si="12" ref="V44:V50">O44*365</f>
        <v>0.33901200000000004</v>
      </c>
    </row>
    <row r="45" spans="1:22" ht="12.75">
      <c r="A45" s="170" t="s">
        <v>195</v>
      </c>
      <c r="B45" s="148">
        <v>4E-05</v>
      </c>
      <c r="C45" s="148">
        <f aca="true" t="shared" si="13" ref="C45:C51">B45*$E$4</f>
        <v>31.536</v>
      </c>
      <c r="D45" s="148">
        <f t="shared" si="6"/>
        <v>0.0864</v>
      </c>
      <c r="E45" s="148">
        <v>0.0031</v>
      </c>
      <c r="F45" s="148">
        <f aca="true" t="shared" si="14" ref="F45:F51">E45*$I$5</f>
        <v>1.3377339901477834</v>
      </c>
      <c r="G45" s="148">
        <f aca="true" t="shared" si="15" ref="G45:G51">F45/365</f>
        <v>0.0036650246305418724</v>
      </c>
      <c r="H45" s="148">
        <f t="shared" si="7"/>
        <v>32.873733990147784</v>
      </c>
      <c r="I45" s="148">
        <f t="shared" si="8"/>
        <v>0.09006502463054188</v>
      </c>
      <c r="J45" s="148">
        <f t="shared" si="9"/>
        <v>0.0004728413793103448</v>
      </c>
      <c r="L45" t="s">
        <v>196</v>
      </c>
      <c r="M45" s="148">
        <f>VALUE(MID(L45,2,6))*$I$5</f>
        <v>0.0007767487684729065</v>
      </c>
      <c r="N45" s="168">
        <f>M45/365</f>
        <v>2.12807881773399E-06</v>
      </c>
      <c r="O45" s="168">
        <f t="shared" si="10"/>
        <v>0.08640212807881774</v>
      </c>
      <c r="P45" s="168">
        <f t="shared" si="11"/>
        <v>0.0004536111724137931</v>
      </c>
      <c r="Q45" s="171">
        <v>1</v>
      </c>
      <c r="V45" s="168">
        <f t="shared" si="12"/>
        <v>31.536776748768474</v>
      </c>
    </row>
    <row r="46" spans="1:22" ht="12.75">
      <c r="A46" s="170" t="s">
        <v>197</v>
      </c>
      <c r="B46" s="148">
        <v>6.4E-06</v>
      </c>
      <c r="C46" s="148">
        <f t="shared" si="13"/>
        <v>5.04576</v>
      </c>
      <c r="D46" s="148">
        <f t="shared" si="6"/>
        <v>0.013824</v>
      </c>
      <c r="E46" s="148">
        <v>0.0027</v>
      </c>
      <c r="F46" s="148">
        <f t="shared" si="14"/>
        <v>1.1651231527093597</v>
      </c>
      <c r="G46" s="148">
        <f t="shared" si="15"/>
        <v>0.0031921182266009857</v>
      </c>
      <c r="H46" s="148">
        <f t="shared" si="7"/>
        <v>6.210883152709359</v>
      </c>
      <c r="I46" s="148">
        <f t="shared" si="8"/>
        <v>0.017016118226600985</v>
      </c>
      <c r="J46" s="148">
        <f t="shared" si="9"/>
        <v>8.933462068965516E-05</v>
      </c>
      <c r="L46" t="s">
        <v>194</v>
      </c>
      <c r="M46" s="148"/>
      <c r="N46" s="168"/>
      <c r="O46" s="168">
        <f t="shared" si="10"/>
        <v>0.013824</v>
      </c>
      <c r="P46" s="168">
        <f t="shared" si="11"/>
        <v>7.2576E-05</v>
      </c>
      <c r="Q46" s="171">
        <v>3</v>
      </c>
      <c r="V46" s="168">
        <f t="shared" si="12"/>
        <v>5.04576</v>
      </c>
    </row>
    <row r="47" spans="1:22" ht="12.75">
      <c r="A47" s="170" t="s">
        <v>198</v>
      </c>
      <c r="B47" s="148">
        <v>1.2E-05</v>
      </c>
      <c r="C47" s="148">
        <f t="shared" si="13"/>
        <v>9.4608</v>
      </c>
      <c r="D47" s="148">
        <f t="shared" si="6"/>
        <v>0.025920000000000002</v>
      </c>
      <c r="E47" s="148">
        <v>0.0058</v>
      </c>
      <c r="F47" s="148">
        <f t="shared" si="14"/>
        <v>2.502857142857143</v>
      </c>
      <c r="G47" s="148">
        <f t="shared" si="15"/>
        <v>0.006857142857142858</v>
      </c>
      <c r="H47" s="148">
        <f t="shared" si="7"/>
        <v>11.963657142857144</v>
      </c>
      <c r="I47" s="148">
        <f t="shared" si="8"/>
        <v>0.03277714285714286</v>
      </c>
      <c r="J47" s="148">
        <f t="shared" si="9"/>
        <v>0.00017208000000000005</v>
      </c>
      <c r="L47" s="168">
        <v>0.0021</v>
      </c>
      <c r="M47" s="148">
        <f>L47*$I$5</f>
        <v>0.9062068965517242</v>
      </c>
      <c r="N47" s="168">
        <f>M47/365</f>
        <v>0.0024827586206896553</v>
      </c>
      <c r="O47" s="168">
        <f t="shared" si="10"/>
        <v>0.028402758620689656</v>
      </c>
      <c r="P47" s="168">
        <f t="shared" si="11"/>
        <v>0.0001491144827586207</v>
      </c>
      <c r="Q47" s="171">
        <v>13</v>
      </c>
      <c r="R47" s="168"/>
      <c r="S47" s="168"/>
      <c r="V47" s="168">
        <f t="shared" si="12"/>
        <v>10.367006896551725</v>
      </c>
    </row>
    <row r="48" spans="1:22" ht="12.75">
      <c r="A48" s="170" t="s">
        <v>199</v>
      </c>
      <c r="B48" s="148">
        <v>3.2E-05</v>
      </c>
      <c r="C48" s="148">
        <f t="shared" si="13"/>
        <v>25.2288</v>
      </c>
      <c r="D48" s="148">
        <f t="shared" si="6"/>
        <v>0.06912</v>
      </c>
      <c r="E48" s="148">
        <v>0.0069</v>
      </c>
      <c r="F48" s="148">
        <f t="shared" si="14"/>
        <v>2.9775369458128083</v>
      </c>
      <c r="G48" s="148">
        <f t="shared" si="15"/>
        <v>0.008157635467980297</v>
      </c>
      <c r="H48" s="148">
        <f t="shared" si="7"/>
        <v>28.206336945812808</v>
      </c>
      <c r="I48" s="148">
        <f t="shared" si="8"/>
        <v>0.07727763546798029</v>
      </c>
      <c r="J48" s="148">
        <f t="shared" si="9"/>
        <v>0.00040570758620689655</v>
      </c>
      <c r="L48" t="s">
        <v>194</v>
      </c>
      <c r="M48" s="148"/>
      <c r="N48" s="168"/>
      <c r="O48" s="168">
        <f t="shared" si="10"/>
        <v>0.06912</v>
      </c>
      <c r="P48" s="168">
        <f t="shared" si="11"/>
        <v>0.00036288000000000005</v>
      </c>
      <c r="Q48" s="171">
        <v>162</v>
      </c>
      <c r="R48" s="168"/>
      <c r="S48" s="168"/>
      <c r="V48" s="168">
        <f t="shared" si="12"/>
        <v>25.2288</v>
      </c>
    </row>
    <row r="49" spans="1:22" ht="12.75">
      <c r="A49" s="170" t="s">
        <v>200</v>
      </c>
      <c r="B49" s="148">
        <v>0.00071</v>
      </c>
      <c r="C49" s="148">
        <f t="shared" si="13"/>
        <v>559.764</v>
      </c>
      <c r="D49" s="148">
        <f t="shared" si="6"/>
        <v>1.5336</v>
      </c>
      <c r="E49" s="148">
        <f>0.0123</f>
        <v>0.0123</v>
      </c>
      <c r="F49" s="148">
        <f t="shared" si="14"/>
        <v>5.307783251231528</v>
      </c>
      <c r="G49" s="148">
        <f t="shared" si="15"/>
        <v>0.014541871921182267</v>
      </c>
      <c r="H49" s="148">
        <f t="shared" si="7"/>
        <v>565.0717832512315</v>
      </c>
      <c r="I49" s="148">
        <f t="shared" si="8"/>
        <v>1.5481418719211824</v>
      </c>
      <c r="J49" s="148">
        <f t="shared" si="9"/>
        <v>0.008127744827586207</v>
      </c>
      <c r="L49" s="168">
        <v>0.075</v>
      </c>
      <c r="M49" s="148">
        <f>L49*$I$5</f>
        <v>32.364532019704434</v>
      </c>
      <c r="N49" s="168">
        <f>M49/365</f>
        <v>0.08866995073891626</v>
      </c>
      <c r="O49" s="168">
        <f t="shared" si="10"/>
        <v>1.6222699507389162</v>
      </c>
      <c r="P49" s="168">
        <f t="shared" si="11"/>
        <v>0.00851691724137931</v>
      </c>
      <c r="Q49" s="171">
        <v>70</v>
      </c>
      <c r="R49" s="168"/>
      <c r="S49" s="168"/>
      <c r="V49" s="168">
        <f t="shared" si="12"/>
        <v>592.1285320197044</v>
      </c>
    </row>
    <row r="50" spans="1:22" ht="12.75">
      <c r="A50" s="170" t="s">
        <v>201</v>
      </c>
      <c r="B50" s="148">
        <v>1.3E-06</v>
      </c>
      <c r="C50" s="148">
        <f t="shared" si="13"/>
        <v>1.02492</v>
      </c>
      <c r="D50" s="148">
        <f t="shared" si="6"/>
        <v>0.002808</v>
      </c>
      <c r="E50" s="148">
        <v>0.0003</v>
      </c>
      <c r="F50" s="148">
        <f t="shared" si="14"/>
        <v>0.12945812807881774</v>
      </c>
      <c r="G50" s="148">
        <f t="shared" si="15"/>
        <v>0.000354679802955665</v>
      </c>
      <c r="H50" s="148">
        <f t="shared" si="7"/>
        <v>1.1543781280788177</v>
      </c>
      <c r="I50" s="148">
        <f t="shared" si="8"/>
        <v>0.003162679802955665</v>
      </c>
      <c r="J50" s="148">
        <f t="shared" si="9"/>
        <v>1.6604068965517242E-05</v>
      </c>
      <c r="L50" s="168">
        <v>0.00061</v>
      </c>
      <c r="M50" s="148">
        <f>L50*$I$5</f>
        <v>0.2632315270935961</v>
      </c>
      <c r="N50" s="168">
        <f>M50/365</f>
        <v>0.0007211822660098523</v>
      </c>
      <c r="O50" s="168">
        <f t="shared" si="10"/>
        <v>0.0035291822660098527</v>
      </c>
      <c r="P50" s="168">
        <f t="shared" si="11"/>
        <v>1.8528206896551726E-05</v>
      </c>
      <c r="Q50" s="171">
        <v>110</v>
      </c>
      <c r="R50" s="168"/>
      <c r="S50" s="168"/>
      <c r="V50" s="168">
        <f t="shared" si="12"/>
        <v>1.2881515270935961</v>
      </c>
    </row>
    <row r="51" spans="1:22" ht="12.75">
      <c r="A51" s="170" t="s">
        <v>202</v>
      </c>
      <c r="B51" s="148">
        <v>2.2E-06</v>
      </c>
      <c r="C51" s="148">
        <f t="shared" si="13"/>
        <v>1.73448</v>
      </c>
      <c r="D51" s="148">
        <f t="shared" si="6"/>
        <v>0.004752</v>
      </c>
      <c r="E51" s="148">
        <v>0.0004</v>
      </c>
      <c r="F51" s="148">
        <f t="shared" si="14"/>
        <v>0.17261083743842368</v>
      </c>
      <c r="G51" s="148">
        <f t="shared" si="15"/>
        <v>0.0004729064039408868</v>
      </c>
      <c r="H51" s="148">
        <f t="shared" si="7"/>
        <v>1.9070908374384237</v>
      </c>
      <c r="I51" s="148">
        <f t="shared" si="8"/>
        <v>0.0052249064039408865</v>
      </c>
      <c r="J51" s="148">
        <f t="shared" si="9"/>
        <v>2.743075862068966E-05</v>
      </c>
      <c r="L51" t="s">
        <v>203</v>
      </c>
      <c r="M51" s="148"/>
      <c r="N51" s="168"/>
      <c r="O51" s="168">
        <f t="shared" si="10"/>
        <v>0.004752</v>
      </c>
      <c r="P51" s="168">
        <f>O51/24/3600*453.6+T67</f>
        <v>2.5032129404388718E-05</v>
      </c>
      <c r="Q51" s="171"/>
      <c r="R51" s="168"/>
      <c r="S51" s="168"/>
      <c r="V51" s="168">
        <f>P51/453.6*8760*3600</f>
        <v>1.7403289966860727</v>
      </c>
    </row>
    <row r="52" spans="1:22" ht="12.75">
      <c r="A52" s="170" t="s">
        <v>204</v>
      </c>
      <c r="B52" s="145" t="s">
        <v>205</v>
      </c>
      <c r="C52" s="148">
        <f>VALUE(MID(B52,2,6))</f>
        <v>2.9E-05</v>
      </c>
      <c r="D52" s="148">
        <f t="shared" si="6"/>
        <v>7.945205479452054E-08</v>
      </c>
      <c r="E52" s="172" t="s">
        <v>194</v>
      </c>
      <c r="F52" s="148"/>
      <c r="G52" s="148"/>
      <c r="H52" s="148">
        <f t="shared" si="7"/>
        <v>2.9E-05</v>
      </c>
      <c r="I52" s="148">
        <f t="shared" si="8"/>
        <v>7.945205479452054E-08</v>
      </c>
      <c r="J52" s="148">
        <f t="shared" si="9"/>
        <v>4.171232876712329E-10</v>
      </c>
      <c r="L52" t="s">
        <v>194</v>
      </c>
      <c r="M52" s="148"/>
      <c r="N52" s="168"/>
      <c r="O52" s="168">
        <f t="shared" si="10"/>
        <v>7.945205479452054E-08</v>
      </c>
      <c r="P52" s="168">
        <f aca="true" t="shared" si="16" ref="P52:P75">O52/24/3600*453.6</f>
        <v>4.1712328767123287E-10</v>
      </c>
      <c r="Q52" s="171">
        <v>135</v>
      </c>
      <c r="R52" s="168"/>
      <c r="S52" s="168"/>
      <c r="V52" s="168">
        <f aca="true" t="shared" si="17" ref="V52:V75">O52*365</f>
        <v>2.9E-05</v>
      </c>
    </row>
    <row r="53" spans="1:22" ht="12.75">
      <c r="A53" s="170" t="s">
        <v>206</v>
      </c>
      <c r="B53" s="148">
        <v>0.00013</v>
      </c>
      <c r="C53" s="148">
        <f>B53*$E$4</f>
        <v>102.49199999999999</v>
      </c>
      <c r="D53" s="148">
        <f t="shared" si="6"/>
        <v>0.2808</v>
      </c>
      <c r="E53" s="148">
        <v>0.0265</v>
      </c>
      <c r="F53" s="148">
        <f>E53*$I$5</f>
        <v>11.435467980295567</v>
      </c>
      <c r="G53" s="148">
        <f>F53/365</f>
        <v>0.031330049261083744</v>
      </c>
      <c r="H53" s="148">
        <f t="shared" si="7"/>
        <v>113.92746798029556</v>
      </c>
      <c r="I53" s="148">
        <f t="shared" si="8"/>
        <v>0.31213004926108373</v>
      </c>
      <c r="J53" s="148">
        <f t="shared" si="9"/>
        <v>0.0016386827586206897</v>
      </c>
      <c r="L53" s="168">
        <v>0.0034</v>
      </c>
      <c r="M53" s="148">
        <f>L53*$I$5</f>
        <v>1.467192118226601</v>
      </c>
      <c r="N53" s="168">
        <f>M53/365</f>
        <v>0.004019704433497537</v>
      </c>
      <c r="O53" s="168">
        <f t="shared" si="10"/>
        <v>0.2848197044334975</v>
      </c>
      <c r="P53" s="168">
        <f t="shared" si="16"/>
        <v>0.0014953034482758619</v>
      </c>
      <c r="Q53" s="171">
        <v>145</v>
      </c>
      <c r="R53" s="168"/>
      <c r="S53" s="168"/>
      <c r="V53" s="168">
        <f t="shared" si="17"/>
        <v>103.9591921182266</v>
      </c>
    </row>
    <row r="54" spans="1:22" ht="12.75">
      <c r="A54" s="170" t="s">
        <v>207</v>
      </c>
      <c r="B54" s="148">
        <v>6.4E-05</v>
      </c>
      <c r="C54" s="148">
        <f>B54*$E$4</f>
        <v>50.4576</v>
      </c>
      <c r="D54" s="148">
        <f t="shared" si="6"/>
        <v>0.13824</v>
      </c>
      <c r="E54" s="148">
        <v>0.0197</v>
      </c>
      <c r="F54" s="148">
        <f>E54*$I$5</f>
        <v>8.501083743842365</v>
      </c>
      <c r="G54" s="148">
        <f>F54/365</f>
        <v>0.023290640394088673</v>
      </c>
      <c r="H54" s="148">
        <f t="shared" si="7"/>
        <v>58.958683743842364</v>
      </c>
      <c r="I54" s="148">
        <f t="shared" si="8"/>
        <v>0.16153064039408868</v>
      </c>
      <c r="J54" s="148">
        <f t="shared" si="9"/>
        <v>0.0008480358620689655</v>
      </c>
      <c r="L54" t="s">
        <v>194</v>
      </c>
      <c r="M54" s="148"/>
      <c r="N54" s="168"/>
      <c r="O54" s="168">
        <f t="shared" si="10"/>
        <v>0.13824</v>
      </c>
      <c r="P54" s="168">
        <f t="shared" si="16"/>
        <v>0.0007257600000000001</v>
      </c>
      <c r="Q54" s="171">
        <v>151</v>
      </c>
      <c r="R54" s="168"/>
      <c r="S54" s="168"/>
      <c r="V54" s="168">
        <f t="shared" si="17"/>
        <v>50.4576</v>
      </c>
    </row>
    <row r="55" spans="1:22" ht="12.75">
      <c r="A55" s="170" t="s">
        <v>208</v>
      </c>
      <c r="B55" s="122" t="s">
        <v>194</v>
      </c>
      <c r="C55" s="24"/>
      <c r="D55" s="24"/>
      <c r="E55" s="148">
        <v>0.0046</v>
      </c>
      <c r="F55" s="148">
        <f>E55*$I$5</f>
        <v>1.9850246305418722</v>
      </c>
      <c r="G55" s="148">
        <f>F55/365</f>
        <v>0.005438423645320198</v>
      </c>
      <c r="H55" s="148">
        <f t="shared" si="7"/>
        <v>1.9850246305418722</v>
      </c>
      <c r="I55" s="148">
        <f t="shared" si="8"/>
        <v>0.005438423645320198</v>
      </c>
      <c r="J55" s="148">
        <f t="shared" si="9"/>
        <v>2.855172413793104E-05</v>
      </c>
      <c r="L55" s="168">
        <v>1.8</v>
      </c>
      <c r="M55" s="148">
        <f>L55*$I$5</f>
        <v>776.7487684729065</v>
      </c>
      <c r="N55" s="168">
        <f>M55/365</f>
        <v>2.12807881773399</v>
      </c>
      <c r="O55" s="168">
        <f t="shared" si="10"/>
        <v>2.12807881773399</v>
      </c>
      <c r="P55" s="168">
        <f t="shared" si="16"/>
        <v>0.01117241379310345</v>
      </c>
      <c r="Q55" s="171">
        <v>163</v>
      </c>
      <c r="R55" s="168"/>
      <c r="S55" s="168"/>
      <c r="V55" s="168">
        <f t="shared" si="17"/>
        <v>776.7487684729065</v>
      </c>
    </row>
    <row r="56" spans="1:22" ht="12.75">
      <c r="A56" s="170" t="s">
        <v>209</v>
      </c>
      <c r="B56" s="122" t="s">
        <v>194</v>
      </c>
      <c r="C56" s="24"/>
      <c r="D56" s="24"/>
      <c r="E56" s="148">
        <v>0.53</v>
      </c>
      <c r="F56" s="148">
        <f>E56*$I$5</f>
        <v>228.70935960591137</v>
      </c>
      <c r="G56" s="148">
        <f>F56/365</f>
        <v>0.626600985221675</v>
      </c>
      <c r="H56" s="148">
        <f t="shared" si="7"/>
        <v>228.70935960591137</v>
      </c>
      <c r="I56" s="148">
        <f t="shared" si="8"/>
        <v>0.626600985221675</v>
      </c>
      <c r="J56" s="148">
        <f t="shared" si="9"/>
        <v>0.003289655172413794</v>
      </c>
      <c r="L56" t="s">
        <v>194</v>
      </c>
      <c r="M56" s="148"/>
      <c r="N56" s="168"/>
      <c r="O56" s="168">
        <f t="shared" si="10"/>
        <v>0</v>
      </c>
      <c r="P56" s="168">
        <f t="shared" si="16"/>
        <v>0</v>
      </c>
      <c r="Q56" s="169">
        <v>134</v>
      </c>
      <c r="S56" s="168"/>
      <c r="V56" s="168">
        <f t="shared" si="17"/>
        <v>0</v>
      </c>
    </row>
    <row r="57" spans="1:22" ht="12.75">
      <c r="A57" s="170" t="s">
        <v>210</v>
      </c>
      <c r="B57" s="24"/>
      <c r="C57" s="24"/>
      <c r="D57" s="24"/>
      <c r="E57" s="24"/>
      <c r="F57" s="24"/>
      <c r="G57" s="24"/>
      <c r="H57" s="24">
        <f>I57*365</f>
        <v>1094.0072</v>
      </c>
      <c r="I57" s="148">
        <f>0.176*17.03</f>
        <v>2.99728</v>
      </c>
      <c r="J57" s="148">
        <f t="shared" si="9"/>
        <v>0.01573572</v>
      </c>
      <c r="L57" t="s">
        <v>194</v>
      </c>
      <c r="M57" s="148"/>
      <c r="N57" s="168"/>
      <c r="O57" s="168">
        <f t="shared" si="10"/>
        <v>0</v>
      </c>
      <c r="P57" s="168">
        <f t="shared" si="16"/>
        <v>0</v>
      </c>
      <c r="Q57" s="169">
        <v>9</v>
      </c>
      <c r="V57" s="168">
        <f t="shared" si="17"/>
        <v>0</v>
      </c>
    </row>
    <row r="58" spans="1:22" ht="12.75" hidden="1">
      <c r="A58" s="95" t="s">
        <v>211</v>
      </c>
      <c r="B58" s="42"/>
      <c r="C58" s="42"/>
      <c r="D58" s="42"/>
      <c r="E58" s="42"/>
      <c r="F58" s="42"/>
      <c r="G58" s="42"/>
      <c r="H58" s="42"/>
      <c r="I58" s="173"/>
      <c r="J58" s="173"/>
      <c r="L58" s="168">
        <v>0.0012</v>
      </c>
      <c r="M58" s="148">
        <f>L58*$I$5</f>
        <v>0.5178325123152709</v>
      </c>
      <c r="N58" s="168">
        <f aca="true" t="shared" si="18" ref="N58:N75">M58/365</f>
        <v>0.00141871921182266</v>
      </c>
      <c r="O58" s="168">
        <f t="shared" si="10"/>
        <v>0.00141871921182266</v>
      </c>
      <c r="P58" s="168">
        <f t="shared" si="16"/>
        <v>7.448275862068966E-06</v>
      </c>
      <c r="Q58" s="169">
        <v>48</v>
      </c>
      <c r="V58" s="168">
        <f t="shared" si="17"/>
        <v>0.5178325123152709</v>
      </c>
    </row>
    <row r="59" spans="1:22" ht="12.75" hidden="1">
      <c r="A59" t="s">
        <v>212</v>
      </c>
      <c r="D59" s="42"/>
      <c r="E59" s="42"/>
      <c r="F59" s="42"/>
      <c r="G59" s="42"/>
      <c r="H59" s="42"/>
      <c r="I59" s="173"/>
      <c r="J59" s="173"/>
      <c r="L59" s="174" t="s">
        <v>213</v>
      </c>
      <c r="M59" s="148">
        <f>VALUE(MID(L59,2,6))*$I$5</f>
        <v>0.0007767487684729065</v>
      </c>
      <c r="N59" s="168">
        <f t="shared" si="18"/>
        <v>2.12807881773399E-06</v>
      </c>
      <c r="O59" s="168">
        <f t="shared" si="10"/>
        <v>2.12807881773399E-06</v>
      </c>
      <c r="P59" s="168">
        <f t="shared" si="16"/>
        <v>1.117241379310345E-08</v>
      </c>
      <c r="Q59" s="169">
        <v>169</v>
      </c>
      <c r="R59" s="168">
        <v>0.0063</v>
      </c>
      <c r="S59" s="168">
        <f aca="true" t="shared" si="19" ref="S59:S67">P59*R59/$R$62</f>
        <v>6.398746081504703E-08</v>
      </c>
      <c r="V59" s="168">
        <f t="shared" si="17"/>
        <v>0.0007767487684729065</v>
      </c>
    </row>
    <row r="60" spans="1:22" ht="12.75" hidden="1">
      <c r="A60" t="s">
        <v>214</v>
      </c>
      <c r="D60" s="42"/>
      <c r="E60" s="42"/>
      <c r="F60" s="42"/>
      <c r="G60" s="42"/>
      <c r="H60" s="42"/>
      <c r="I60" s="173"/>
      <c r="J60" s="173"/>
      <c r="L60" s="174" t="s">
        <v>215</v>
      </c>
      <c r="M60" s="148">
        <f aca="true" t="shared" si="20" ref="M60:M67">VALUE(MID(L60,2,7))*$I$5</f>
        <v>0.0006904433497536947</v>
      </c>
      <c r="N60" s="168">
        <f t="shared" si="18"/>
        <v>1.891625615763547E-06</v>
      </c>
      <c r="O60" s="168">
        <f t="shared" si="10"/>
        <v>1.891625615763547E-06</v>
      </c>
      <c r="P60" s="168">
        <f t="shared" si="16"/>
        <v>9.93103448275862E-09</v>
      </c>
      <c r="Q60" s="169">
        <v>170</v>
      </c>
      <c r="R60" s="168">
        <v>0.00011</v>
      </c>
      <c r="S60" s="168">
        <f t="shared" si="19"/>
        <v>9.93103448275862E-10</v>
      </c>
      <c r="V60" s="168">
        <f t="shared" si="17"/>
        <v>0.0006904433497536947</v>
      </c>
    </row>
    <row r="61" spans="1:22" ht="12.75" hidden="1">
      <c r="A61" t="s">
        <v>216</v>
      </c>
      <c r="D61" s="42"/>
      <c r="E61" s="42"/>
      <c r="F61" s="42"/>
      <c r="G61" s="42"/>
      <c r="H61" s="42"/>
      <c r="I61" s="173"/>
      <c r="J61" s="173"/>
      <c r="L61" s="174" t="s">
        <v>213</v>
      </c>
      <c r="M61" s="148">
        <f t="shared" si="20"/>
        <v>0.0007767487684729065</v>
      </c>
      <c r="N61" s="168">
        <f t="shared" si="18"/>
        <v>2.12807881773399E-06</v>
      </c>
      <c r="O61" s="168">
        <f t="shared" si="10"/>
        <v>2.12807881773399E-06</v>
      </c>
      <c r="P61" s="168">
        <f t="shared" si="16"/>
        <v>1.117241379310345E-08</v>
      </c>
      <c r="Q61" s="169">
        <v>171</v>
      </c>
      <c r="R61" s="168">
        <v>0.00011</v>
      </c>
      <c r="S61" s="168">
        <f t="shared" si="19"/>
        <v>1.1172413793103449E-09</v>
      </c>
      <c r="V61" s="168">
        <f t="shared" si="17"/>
        <v>0.0007767487684729065</v>
      </c>
    </row>
    <row r="62" spans="1:22" ht="12.75" hidden="1">
      <c r="A62" t="s">
        <v>217</v>
      </c>
      <c r="D62" s="42"/>
      <c r="E62" s="42"/>
      <c r="F62" s="42"/>
      <c r="G62" s="42"/>
      <c r="H62" s="42"/>
      <c r="I62" s="173"/>
      <c r="J62" s="173"/>
      <c r="L62" s="174" t="s">
        <v>218</v>
      </c>
      <c r="M62" s="148">
        <f t="shared" si="20"/>
        <v>0.000517832512315271</v>
      </c>
      <c r="N62" s="168">
        <f t="shared" si="18"/>
        <v>1.4187192118226604E-06</v>
      </c>
      <c r="O62" s="168">
        <f t="shared" si="10"/>
        <v>1.4187192118226604E-06</v>
      </c>
      <c r="P62" s="168">
        <f t="shared" si="16"/>
        <v>7.448275862068967E-09</v>
      </c>
      <c r="Q62">
        <v>166</v>
      </c>
      <c r="R62" s="168">
        <v>0.0011</v>
      </c>
      <c r="S62" s="168">
        <f t="shared" si="19"/>
        <v>7.448275862068967E-09</v>
      </c>
      <c r="V62" s="168">
        <f t="shared" si="17"/>
        <v>0.000517832512315271</v>
      </c>
    </row>
    <row r="63" spans="1:22" ht="12.75" hidden="1">
      <c r="A63" t="s">
        <v>219</v>
      </c>
      <c r="D63" s="42"/>
      <c r="E63" s="42"/>
      <c r="F63" s="42"/>
      <c r="G63" s="42"/>
      <c r="H63" s="42"/>
      <c r="I63" s="173"/>
      <c r="J63" s="173"/>
      <c r="L63" s="174" t="s">
        <v>213</v>
      </c>
      <c r="M63" s="148">
        <f t="shared" si="20"/>
        <v>0.0007767487684729065</v>
      </c>
      <c r="N63" s="168">
        <f t="shared" si="18"/>
        <v>2.12807881773399E-06</v>
      </c>
      <c r="O63" s="168">
        <f t="shared" si="10"/>
        <v>2.12807881773399E-06</v>
      </c>
      <c r="P63" s="168">
        <f t="shared" si="16"/>
        <v>1.117241379310345E-08</v>
      </c>
      <c r="Q63">
        <v>172</v>
      </c>
      <c r="R63" s="168">
        <v>0.00011</v>
      </c>
      <c r="S63" s="168">
        <f t="shared" si="19"/>
        <v>1.1172413793103449E-09</v>
      </c>
      <c r="V63" s="168">
        <f t="shared" si="17"/>
        <v>0.0007767487684729065</v>
      </c>
    </row>
    <row r="64" spans="1:22" ht="12.75" hidden="1">
      <c r="A64" t="s">
        <v>220</v>
      </c>
      <c r="D64" s="42"/>
      <c r="E64" s="42"/>
      <c r="F64" s="42"/>
      <c r="G64" s="42"/>
      <c r="H64" s="42"/>
      <c r="I64" s="173"/>
      <c r="J64" s="173"/>
      <c r="L64" s="174" t="s">
        <v>221</v>
      </c>
      <c r="M64" s="148">
        <f t="shared" si="20"/>
        <v>7.767487684729065E-05</v>
      </c>
      <c r="N64" s="168">
        <f t="shared" si="18"/>
        <v>2.1280788177339902E-07</v>
      </c>
      <c r="O64" s="168">
        <f t="shared" si="10"/>
        <v>2.1280788177339902E-07</v>
      </c>
      <c r="P64" s="168">
        <f t="shared" si="16"/>
        <v>1.1172413793103449E-09</v>
      </c>
      <c r="Q64">
        <v>173</v>
      </c>
      <c r="R64" s="168">
        <v>0.00011</v>
      </c>
      <c r="S64" s="168">
        <f t="shared" si="19"/>
        <v>1.1172413793103449E-10</v>
      </c>
      <c r="V64" s="168">
        <f t="shared" si="17"/>
        <v>7.767487684729065E-05</v>
      </c>
    </row>
    <row r="65" spans="1:22" ht="12.75" hidden="1">
      <c r="A65" t="s">
        <v>222</v>
      </c>
      <c r="D65" s="42"/>
      <c r="E65" s="42"/>
      <c r="F65" s="42"/>
      <c r="G65" s="42"/>
      <c r="H65" s="42"/>
      <c r="I65" s="173"/>
      <c r="J65" s="173"/>
      <c r="L65" s="174" t="s">
        <v>213</v>
      </c>
      <c r="M65" s="148">
        <f t="shared" si="20"/>
        <v>0.0007767487684729065</v>
      </c>
      <c r="N65" s="168">
        <f t="shared" si="18"/>
        <v>2.12807881773399E-06</v>
      </c>
      <c r="O65" s="168">
        <f t="shared" si="10"/>
        <v>2.12807881773399E-06</v>
      </c>
      <c r="P65" s="168">
        <f t="shared" si="16"/>
        <v>1.117241379310345E-08</v>
      </c>
      <c r="Q65">
        <v>174</v>
      </c>
      <c r="R65" s="168">
        <v>1.1E-05</v>
      </c>
      <c r="S65" s="168">
        <f t="shared" si="19"/>
        <v>1.1172413793103449E-10</v>
      </c>
      <c r="V65" s="168">
        <f t="shared" si="17"/>
        <v>0.0007767487684729065</v>
      </c>
    </row>
    <row r="66" spans="1:22" ht="12.75" hidden="1">
      <c r="A66" t="s">
        <v>223</v>
      </c>
      <c r="D66" s="42"/>
      <c r="E66" s="42"/>
      <c r="F66" s="42"/>
      <c r="G66" s="42"/>
      <c r="H66" s="42"/>
      <c r="I66" s="173"/>
      <c r="J66" s="173"/>
      <c r="L66" s="174" t="s">
        <v>218</v>
      </c>
      <c r="M66" s="148">
        <f t="shared" si="20"/>
        <v>0.000517832512315271</v>
      </c>
      <c r="N66" s="168">
        <f t="shared" si="18"/>
        <v>1.4187192118226604E-06</v>
      </c>
      <c r="O66" s="168">
        <f t="shared" si="10"/>
        <v>1.4187192118226604E-06</v>
      </c>
      <c r="P66" s="168">
        <f t="shared" si="16"/>
        <v>7.448275862068967E-09</v>
      </c>
      <c r="Q66">
        <v>175</v>
      </c>
      <c r="R66" s="168">
        <v>0.0012</v>
      </c>
      <c r="S66" s="168">
        <f t="shared" si="19"/>
        <v>8.125391849529783E-09</v>
      </c>
      <c r="V66" s="168">
        <f t="shared" si="17"/>
        <v>0.000517832512315271</v>
      </c>
    </row>
    <row r="67" spans="1:22" ht="12.75" hidden="1">
      <c r="A67" t="s">
        <v>224</v>
      </c>
      <c r="C67" s="42"/>
      <c r="D67" s="42"/>
      <c r="E67" s="42"/>
      <c r="F67" s="42"/>
      <c r="G67" s="42"/>
      <c r="H67" s="42"/>
      <c r="I67" s="173"/>
      <c r="J67" s="173"/>
      <c r="L67" s="174" t="s">
        <v>213</v>
      </c>
      <c r="M67" s="148">
        <f t="shared" si="20"/>
        <v>0.0007767487684729065</v>
      </c>
      <c r="N67" s="168">
        <f t="shared" si="18"/>
        <v>2.12807881773399E-06</v>
      </c>
      <c r="O67" s="168">
        <f t="shared" si="10"/>
        <v>2.12807881773399E-06</v>
      </c>
      <c r="P67" s="168">
        <f t="shared" si="16"/>
        <v>1.117241379310345E-08</v>
      </c>
      <c r="Q67">
        <v>176</v>
      </c>
      <c r="R67" s="168">
        <v>0.00011</v>
      </c>
      <c r="S67" s="168">
        <f t="shared" si="19"/>
        <v>1.1172413793103449E-09</v>
      </c>
      <c r="T67" s="168">
        <f>SUM(S59:S67)</f>
        <v>8.412940438871474E-08</v>
      </c>
      <c r="U67">
        <v>130</v>
      </c>
      <c r="V67" s="168">
        <f t="shared" si="17"/>
        <v>0.0007767487684729065</v>
      </c>
    </row>
    <row r="68" spans="1:22" ht="12.75" hidden="1">
      <c r="A68" t="s">
        <v>225</v>
      </c>
      <c r="C68" s="42"/>
      <c r="D68" s="42"/>
      <c r="E68" s="42"/>
      <c r="F68" s="42"/>
      <c r="G68" s="42"/>
      <c r="H68" s="42"/>
      <c r="I68" s="173"/>
      <c r="J68" s="173"/>
      <c r="L68" s="175">
        <v>0.0002</v>
      </c>
      <c r="M68" s="148">
        <f>L68*$I$5</f>
        <v>0.08630541871921184</v>
      </c>
      <c r="N68" s="168">
        <f t="shared" si="18"/>
        <v>0.0002364532019704434</v>
      </c>
      <c r="O68" s="168">
        <f t="shared" si="10"/>
        <v>0.0002364532019704434</v>
      </c>
      <c r="P68" s="168">
        <f t="shared" si="16"/>
        <v>1.241379310344828E-06</v>
      </c>
      <c r="Q68">
        <v>10</v>
      </c>
      <c r="V68" s="168">
        <f t="shared" si="17"/>
        <v>0.08630541871921184</v>
      </c>
    </row>
    <row r="69" spans="1:22" ht="12.75" hidden="1">
      <c r="A69" t="s">
        <v>226</v>
      </c>
      <c r="C69" s="42"/>
      <c r="D69" s="42"/>
      <c r="E69" s="42"/>
      <c r="F69" s="42"/>
      <c r="G69" s="42"/>
      <c r="H69" s="42"/>
      <c r="I69" s="173"/>
      <c r="J69" s="173"/>
      <c r="L69" s="174" t="s">
        <v>227</v>
      </c>
      <c r="M69" s="148">
        <f>VALUE(MID(L69,2,7))*$I$5</f>
        <v>0.00517832512315271</v>
      </c>
      <c r="N69" s="168">
        <f t="shared" si="18"/>
        <v>1.4187192118226604E-05</v>
      </c>
      <c r="O69" s="168">
        <f t="shared" si="10"/>
        <v>1.4187192118226604E-05</v>
      </c>
      <c r="P69" s="168">
        <f t="shared" si="16"/>
        <v>7.448275862068966E-08</v>
      </c>
      <c r="Q69">
        <v>17</v>
      </c>
      <c r="V69" s="168">
        <f t="shared" si="17"/>
        <v>0.00517832512315271</v>
      </c>
    </row>
    <row r="70" spans="1:22" ht="12.75" hidden="1">
      <c r="A70" t="s">
        <v>228</v>
      </c>
      <c r="C70" s="42"/>
      <c r="D70" s="42"/>
      <c r="E70" s="42"/>
      <c r="F70" s="42"/>
      <c r="G70" s="42"/>
      <c r="H70" s="42"/>
      <c r="I70" s="173"/>
      <c r="J70" s="173"/>
      <c r="L70" s="168">
        <v>0.0011</v>
      </c>
      <c r="M70" s="148">
        <f aca="true" t="shared" si="21" ref="M70:M75">L70*$I$5</f>
        <v>0.4746798029556651</v>
      </c>
      <c r="N70" s="168">
        <f t="shared" si="18"/>
        <v>0.0013004926108374387</v>
      </c>
      <c r="O70" s="168">
        <f t="shared" si="10"/>
        <v>0.0013004926108374387</v>
      </c>
      <c r="P70" s="168">
        <f t="shared" si="16"/>
        <v>6.827586206896553E-06</v>
      </c>
      <c r="Q70">
        <v>22</v>
      </c>
      <c r="V70" s="168">
        <f t="shared" si="17"/>
        <v>0.47467980295566514</v>
      </c>
    </row>
    <row r="71" spans="1:22" ht="12.75" hidden="1">
      <c r="A71" s="95" t="s">
        <v>229</v>
      </c>
      <c r="B71" s="42"/>
      <c r="C71" s="42"/>
      <c r="D71" s="42"/>
      <c r="E71" s="42"/>
      <c r="F71" s="42"/>
      <c r="G71" s="42"/>
      <c r="H71" s="42"/>
      <c r="I71" s="173"/>
      <c r="J71" s="173"/>
      <c r="L71" s="168">
        <v>0.00085</v>
      </c>
      <c r="M71" s="148">
        <f t="shared" si="21"/>
        <v>0.36679802955665025</v>
      </c>
      <c r="N71" s="168">
        <f t="shared" si="18"/>
        <v>0.0010049261083743843</v>
      </c>
      <c r="O71" s="168">
        <f t="shared" si="10"/>
        <v>0.0010049261083743843</v>
      </c>
      <c r="P71" s="168">
        <f t="shared" si="16"/>
        <v>5.275862068965517E-06</v>
      </c>
      <c r="Q71">
        <v>38</v>
      </c>
      <c r="V71" s="168">
        <f t="shared" si="17"/>
        <v>0.36679802955665025</v>
      </c>
    </row>
    <row r="72" spans="1:22" ht="12.75" hidden="1">
      <c r="A72" s="95" t="s">
        <v>230</v>
      </c>
      <c r="B72" s="42"/>
      <c r="C72" s="42"/>
      <c r="D72" s="42"/>
      <c r="E72" s="42"/>
      <c r="F72" s="42"/>
      <c r="G72" s="42"/>
      <c r="H72" s="42"/>
      <c r="I72" s="173"/>
      <c r="J72" s="173"/>
      <c r="L72" s="168">
        <v>0.00038</v>
      </c>
      <c r="M72" s="148">
        <f t="shared" si="21"/>
        <v>0.16398029556650248</v>
      </c>
      <c r="N72" s="168">
        <f t="shared" si="18"/>
        <v>0.00044926108374384243</v>
      </c>
      <c r="O72" s="168">
        <f t="shared" si="10"/>
        <v>0.00044926108374384243</v>
      </c>
      <c r="P72" s="168">
        <f t="shared" si="16"/>
        <v>2.358620689655173E-06</v>
      </c>
      <c r="Q72">
        <v>85</v>
      </c>
      <c r="V72" s="168">
        <f t="shared" si="17"/>
        <v>0.16398029556650248</v>
      </c>
    </row>
    <row r="73" spans="1:22" ht="12.75" hidden="1">
      <c r="A73" s="95" t="s">
        <v>231</v>
      </c>
      <c r="B73" s="42"/>
      <c r="C73" s="42"/>
      <c r="D73" s="42"/>
      <c r="E73" s="42"/>
      <c r="F73" s="42"/>
      <c r="G73" s="42"/>
      <c r="H73" s="42"/>
      <c r="I73" s="173"/>
      <c r="J73" s="173"/>
      <c r="L73" s="168">
        <v>0.00026</v>
      </c>
      <c r="M73" s="148">
        <f t="shared" si="21"/>
        <v>0.11219704433497538</v>
      </c>
      <c r="N73" s="168">
        <f t="shared" si="18"/>
        <v>0.0003073891625615764</v>
      </c>
      <c r="O73" s="168">
        <f t="shared" si="10"/>
        <v>0.0003073891625615764</v>
      </c>
      <c r="P73" s="168">
        <f t="shared" si="16"/>
        <v>1.613793103448276E-06</v>
      </c>
      <c r="Q73">
        <v>87</v>
      </c>
      <c r="V73" s="168">
        <f t="shared" si="17"/>
        <v>0.11219704433497538</v>
      </c>
    </row>
    <row r="74" spans="1:22" ht="12.75" hidden="1">
      <c r="A74" s="95" t="s">
        <v>232</v>
      </c>
      <c r="B74" s="42"/>
      <c r="C74" s="42"/>
      <c r="D74" s="42"/>
      <c r="E74" s="42"/>
      <c r="F74" s="42"/>
      <c r="G74" s="42"/>
      <c r="H74" s="42"/>
      <c r="I74" s="173"/>
      <c r="J74" s="173"/>
      <c r="L74" s="168">
        <v>0.0021</v>
      </c>
      <c r="M74" s="148">
        <f t="shared" si="21"/>
        <v>0.9062068965517242</v>
      </c>
      <c r="N74" s="168">
        <f t="shared" si="18"/>
        <v>0.0024827586206896553</v>
      </c>
      <c r="O74" s="168">
        <f t="shared" si="10"/>
        <v>0.0024827586206896553</v>
      </c>
      <c r="P74" s="168">
        <f t="shared" si="16"/>
        <v>1.3034482758620693E-05</v>
      </c>
      <c r="Q74">
        <v>111</v>
      </c>
      <c r="V74" s="168">
        <f t="shared" si="17"/>
        <v>0.9062068965517242</v>
      </c>
    </row>
    <row r="75" spans="1:22" ht="12.75" hidden="1">
      <c r="A75" s="95" t="s">
        <v>233</v>
      </c>
      <c r="B75" s="42"/>
      <c r="C75" s="42"/>
      <c r="D75" s="42"/>
      <c r="E75" s="42"/>
      <c r="F75" s="42"/>
      <c r="G75" s="42"/>
      <c r="H75" s="42"/>
      <c r="I75" s="173"/>
      <c r="J75" s="173"/>
      <c r="L75" s="168">
        <v>0.0023</v>
      </c>
      <c r="M75" s="148">
        <f t="shared" si="21"/>
        <v>0.9925123152709361</v>
      </c>
      <c r="N75" s="168">
        <f t="shared" si="18"/>
        <v>0.002719211822660099</v>
      </c>
      <c r="O75" s="168">
        <f t="shared" si="10"/>
        <v>0.002719211822660099</v>
      </c>
      <c r="P75" s="168">
        <f t="shared" si="16"/>
        <v>1.427586206896552E-05</v>
      </c>
      <c r="Q75">
        <v>160</v>
      </c>
      <c r="V75" s="168">
        <f t="shared" si="17"/>
        <v>0.9925123152709361</v>
      </c>
    </row>
    <row r="76" ht="6" customHeight="1"/>
    <row r="77" spans="1:19" ht="12.75">
      <c r="A77" s="149" t="s">
        <v>234</v>
      </c>
      <c r="Q77" s="168"/>
      <c r="R77" s="168"/>
      <c r="S77" s="168"/>
    </row>
    <row r="78" ht="12.75">
      <c r="A78" s="149" t="s">
        <v>235</v>
      </c>
    </row>
    <row r="79" ht="12.75">
      <c r="A79" s="149" t="s">
        <v>236</v>
      </c>
    </row>
  </sheetData>
  <sheetProtection/>
  <mergeCells count="6">
    <mergeCell ref="L42:O42"/>
    <mergeCell ref="B8:D8"/>
    <mergeCell ref="E8:G8"/>
    <mergeCell ref="B42:D42"/>
    <mergeCell ref="E42:G42"/>
    <mergeCell ref="E30:J31"/>
  </mergeCells>
  <printOptions horizontalCentered="1"/>
  <pageMargins left="0.75" right="0.5" top="1" bottom="0.5" header="0.5" footer="0.5"/>
  <pageSetup firstPageNumber="8" useFirstPageNumber="1" horizontalDpi="400" verticalDpi="400" orientation="landscape" scale="88" r:id="rId1"/>
  <headerFooter alignWithMargins="0">
    <oddHeader xml:space="preserve">&amp;C&amp;"Arial,Bold"Table A-8
Paramount Petroleum Cogeneration Project Calculated Criteria Pollutant and Toxic Air Contaminant Emissions </oddHeader>
    <oddFooter>&amp;L&amp;8m:\mrb\Emission Calcs]:&amp;A&amp;CA-&amp;P</oddFooter>
  </headerFooter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E.A.I.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E.A.I.</dc:creator>
  <cp:keywords/>
  <dc:description/>
  <cp:lastModifiedBy>dsasaki</cp:lastModifiedBy>
  <cp:lastPrinted>2001-12-28T23:29:41Z</cp:lastPrinted>
  <dcterms:created xsi:type="dcterms:W3CDTF">2001-08-07T01:36:18Z</dcterms:created>
  <dcterms:modified xsi:type="dcterms:W3CDTF">2014-08-06T19:02:58Z</dcterms:modified>
  <cp:category/>
  <cp:version/>
  <cp:contentType/>
  <cp:contentStatus/>
</cp:coreProperties>
</file>