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tabRatio="478" activeTab="0"/>
  </bookViews>
  <sheets>
    <sheet name="Table A-1" sheetId="1" r:id="rId1"/>
    <sheet name="Table A-2" sheetId="2" r:id="rId2"/>
    <sheet name="Table A-3" sheetId="3" r:id="rId3"/>
    <sheet name="Table A-4" sheetId="4" r:id="rId4"/>
    <sheet name="Table A-5" sheetId="5" r:id="rId5"/>
    <sheet name="Table A-6" sheetId="6" r:id="rId6"/>
    <sheet name="Table A-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uxfuel">'[3]Vessel TAC Modeling Inputs'!$H$9</definedName>
    <definedName name="auxhours">'[3]Vessel TAC Modeling Inputs'!$G$9</definedName>
    <definedName name="baselinetanks">'[2]Baseline Tank VOCs'!$A$1:$BS$42</definedName>
    <definedName name="maxannual">'[3]Vessel TAC Modeling Inputs'!$B$10</definedName>
    <definedName name="maxglc">'[3]Vessel GLC and Background Calcs'!$D$26</definedName>
    <definedName name="maxhourly">'[3]Vessel TAC Modeling Inputs'!$B$9</definedName>
    <definedName name="postprojectefrtanks">'[2]Post Project Tanks - EFR'!$A$1:$BS$28</definedName>
    <definedName name="postprojectfixedtanks">'[2]Post Project Tanks - Fixed'!$A$1:$BS$11</definedName>
    <definedName name="_xlnm.Print_Area" localSheetId="5">'Table A-6'!$A$1:$H$36</definedName>
    <definedName name="_xlnm.Print_Area" localSheetId="6">'Table A-7'!$A$3:$R$42</definedName>
    <definedName name="_xlnm.Print_Titles" localSheetId="6">'Table A-7'!$6:$7</definedName>
    <definedName name="projecttankemissions">#REF!</definedName>
    <definedName name="stackflow56h1">'[1]Combustion Source Test Data'!#REF!</definedName>
    <definedName name="Tank_Emissions_Data">'[4]Tank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<sst xmlns="http://schemas.openxmlformats.org/spreadsheetml/2006/main" count="306" uniqueCount="173">
  <si>
    <t xml:space="preserve"> </t>
  </si>
  <si>
    <t>Pollutants</t>
  </si>
  <si>
    <t>Max. Operating Time, 
hours/yr</t>
  </si>
  <si>
    <t xml:space="preserve">NOx </t>
  </si>
  <si>
    <t>Max. hours per day</t>
  </si>
  <si>
    <t>lb/hr</t>
  </si>
  <si>
    <t>Air Toxics</t>
  </si>
  <si>
    <t>Cancer Risk Calculations</t>
  </si>
  <si>
    <t>Hazardous Index Chronic (HIC) Calculations</t>
  </si>
  <si>
    <t>Hazardous Index Acute (HIA) Calculations</t>
  </si>
  <si>
    <t>tons/yr</t>
  </si>
  <si>
    <t>Multipath-way cancer, MP</t>
  </si>
  <si>
    <t>Meteoro-logical corr. factor</t>
  </si>
  <si>
    <t>Lifetime exp. factor</t>
  </si>
  <si>
    <t>MICR, Cancer Risk</t>
  </si>
  <si>
    <t>Target Organs (Chronic)</t>
  </si>
  <si>
    <t>Reference Exposure Level Chronic, RELc</t>
  </si>
  <si>
    <t>Multipathway chronic, MPhi</t>
  </si>
  <si>
    <t>HIC</t>
  </si>
  <si>
    <t>Target Organs (Acute)</t>
  </si>
  <si>
    <t>Reference Exposure Level Acute, RELa</t>
  </si>
  <si>
    <t>HIA</t>
  </si>
  <si>
    <t>RESP</t>
  </si>
  <si>
    <t>EYE, RESP</t>
  </si>
  <si>
    <t>Total Cancer Risk:</t>
  </si>
  <si>
    <t xml:space="preserve">Total Chronic Haz. Index         </t>
  </si>
  <si>
    <t xml:space="preserve">CV/BL: </t>
  </si>
  <si>
    <t>Total Acute Hazardous Index:</t>
  </si>
  <si>
    <t>(See Note 3)</t>
  </si>
  <si>
    <t>CNS/PNS:</t>
  </si>
  <si>
    <t>IMMUN:</t>
  </si>
  <si>
    <t>Risk shall be less than 1E-6 if no T-BACT</t>
  </si>
  <si>
    <t>KIDN:</t>
  </si>
  <si>
    <t>Risk shall be less than 1E-5 if T-BACT</t>
  </si>
  <si>
    <t>All HIC shall be less than 1.0</t>
  </si>
  <si>
    <t>GI/LV:</t>
  </si>
  <si>
    <t>All HIA shall be less than 1.0</t>
  </si>
  <si>
    <t>RESP:</t>
  </si>
  <si>
    <t>REPR:</t>
  </si>
  <si>
    <t>SKIN:</t>
  </si>
  <si>
    <t>ENDO:</t>
  </si>
  <si>
    <t>EYE:</t>
  </si>
  <si>
    <t>Notes:</t>
  </si>
  <si>
    <t>Operating Schedule: 24 hr/day, 365 days/year</t>
  </si>
  <si>
    <t>Cardiovascular or blood system</t>
  </si>
  <si>
    <t>Central or peripheral nervous system</t>
  </si>
  <si>
    <t>Immune system</t>
  </si>
  <si>
    <t>Kidney</t>
  </si>
  <si>
    <t>Gastrointestinal system and liver</t>
  </si>
  <si>
    <t>Respiratory system</t>
  </si>
  <si>
    <t>Reproductive system</t>
  </si>
  <si>
    <t>Skin</t>
  </si>
  <si>
    <t>ENDO</t>
  </si>
  <si>
    <t>Endocrine system</t>
  </si>
  <si>
    <t>EYE</t>
  </si>
  <si>
    <t>Eye</t>
  </si>
  <si>
    <r>
      <t>Unit Risk Factor, (m</t>
    </r>
    <r>
      <rPr>
        <b/>
        <vertAlign val="superscript"/>
        <sz val="9"/>
        <rFont val="Arial"/>
        <family val="2"/>
      </rPr>
      <t>3</t>
    </r>
    <r>
      <rPr>
        <b/>
        <sz val="10"/>
        <rFont val="Arial"/>
        <family val="2"/>
      </rPr>
      <t>/microgram)</t>
    </r>
  </si>
  <si>
    <r>
      <t>Annual X/Q, microg/m</t>
    </r>
    <r>
      <rPr>
        <b/>
        <vertAlign val="superscript"/>
        <sz val="9"/>
        <rFont val="Arial"/>
        <family val="2"/>
      </rPr>
      <t xml:space="preserve">3   </t>
    </r>
    <r>
      <rPr>
        <b/>
        <sz val="10"/>
        <rFont val="Arial"/>
        <family val="2"/>
      </rPr>
      <t>/tons/yr (Note 2)</t>
    </r>
  </si>
  <si>
    <r>
      <t>Max X/Q, microg/m</t>
    </r>
    <r>
      <rPr>
        <b/>
        <vertAlign val="superscript"/>
        <sz val="9"/>
        <rFont val="Arial"/>
        <family val="2"/>
      </rPr>
      <t>3</t>
    </r>
    <r>
      <rPr>
        <b/>
        <sz val="10"/>
        <rFont val="Arial"/>
        <family val="2"/>
      </rPr>
      <t>/lb/hr (See Note 2)</t>
    </r>
  </si>
  <si>
    <t>Stack height is &gt;14 to 24 ft.  Distance of closest resident receptor is 25 meters.</t>
  </si>
  <si>
    <t>4)  Average emissions = 0.6 x Max. emissions (Assuming the engine operating at 60% loaded)</t>
  </si>
  <si>
    <t>Exhaust Flow rate, DSCFM</t>
  </si>
  <si>
    <t>1)  Data from CEM monitoring records</t>
  </si>
  <si>
    <t>3)  Maximum Hourly Controlled Emissions (MHC) = MHU x (1 - CF), CF = 90% NOx, CF = 50% CO</t>
  </si>
  <si>
    <t>Emission with SCR, ppm</t>
  </si>
  <si>
    <t>Ammonia</t>
  </si>
  <si>
    <t>Emissions</t>
  </si>
  <si>
    <t xml:space="preserve">Meteorological factor is from the King Harbor Station. </t>
  </si>
  <si>
    <t>Engine</t>
  </si>
  <si>
    <t>Unit 7</t>
  </si>
  <si>
    <t>Unit 8</t>
  </si>
  <si>
    <t>Unit 10</t>
  </si>
  <si>
    <t>Unit 12</t>
  </si>
  <si>
    <t>Unit 14</t>
  </si>
  <si>
    <t>Unit 15</t>
  </si>
  <si>
    <t>CO:</t>
  </si>
  <si>
    <t>NOx:</t>
  </si>
  <si>
    <t>Total Emission After Installation and Operation of SCR</t>
  </si>
  <si>
    <t>Total Emission Before Installation and Operation of SCR</t>
  </si>
  <si>
    <t>lb/day</t>
  </si>
  <si>
    <t>SOx</t>
  </si>
  <si>
    <t>2)  Maximum Hourly Uncontrolled Emission (MHU) = (ppm/1E+6) x DSCFM x MW lb/lbmole / 379 CF/lbmole</t>
  </si>
  <si>
    <t>Equipment</t>
  </si>
  <si>
    <t>Crane</t>
  </si>
  <si>
    <t>Forklift</t>
  </si>
  <si>
    <t>Concrete Truck</t>
  </si>
  <si>
    <t>HP</t>
  </si>
  <si>
    <t>Operating Hours, hr/day</t>
  </si>
  <si>
    <t>PM10</t>
  </si>
  <si>
    <t>EF,    lb/hp-hr</t>
  </si>
  <si>
    <t>EF,        lb/hp-hr</t>
  </si>
  <si>
    <t>CO</t>
  </si>
  <si>
    <t>NOx</t>
  </si>
  <si>
    <t>Welding Machine</t>
  </si>
  <si>
    <t>Loading, %</t>
  </si>
  <si>
    <t>Max-daily, HP-Hr/day</t>
  </si>
  <si>
    <t>TOTAL</t>
  </si>
  <si>
    <t>Source: SCAQMD CEQA Air Quality Handbook, 1993</t>
  </si>
  <si>
    <t>Emission Factors (EF) from Table A-9-8-B: lb/hp-hr</t>
  </si>
  <si>
    <t>Vehicle Type</t>
  </si>
  <si>
    <t>VOC</t>
  </si>
  <si>
    <t>Onsite</t>
  </si>
  <si>
    <t>Offsite</t>
  </si>
  <si>
    <t>Significance? (Yes/No)</t>
  </si>
  <si>
    <t>No</t>
  </si>
  <si>
    <t>Air Pollutants</t>
  </si>
  <si>
    <t>PM</t>
  </si>
  <si>
    <t>Total Emissions</t>
  </si>
  <si>
    <t xml:space="preserve">  Max Daily HP = HP x Loading x Operating Hours</t>
  </si>
  <si>
    <t>Emissions = Max. Daily HP x EF</t>
  </si>
  <si>
    <t>Distance Traveled (Miles/trip)</t>
  </si>
  <si>
    <t>Delivery Trucks</t>
  </si>
  <si>
    <t>Number of Vehicles per day</t>
  </si>
  <si>
    <t>(Passenger Vehicles plus</t>
  </si>
  <si>
    <t>Delivery Truck)</t>
  </si>
  <si>
    <t>Emission Factor for On-Road Vehicles</t>
  </si>
  <si>
    <t xml:space="preserve">                      Distance Traveled x Emission Factor</t>
  </si>
  <si>
    <t>Number of Trips per Vehicle</t>
  </si>
  <si>
    <t>For Delivery of Urea from</t>
  </si>
  <si>
    <t>Manufacturing Facility to</t>
  </si>
  <si>
    <t>Total Emissions from Trucks</t>
  </si>
  <si>
    <t>Number of Vehicles per Delivery</t>
  </si>
  <si>
    <t>Emissions (lb/day) = Number of Vehicles x Number of Trips per Vehicle x</t>
  </si>
  <si>
    <t>Passenger Vehicles</t>
  </si>
  <si>
    <t>the Port of Los Angeles</t>
  </si>
  <si>
    <t>the Dock to PBGS</t>
  </si>
  <si>
    <t>PM10 (entrained road dust)</t>
  </si>
  <si>
    <t>PM10 (total)</t>
  </si>
  <si>
    <t>PM10 (exhaust, tire
 and brake wear)</t>
  </si>
  <si>
    <t>Sources: SCAQMD EMFAC 2002, Version 2.2 for all except entrained road dust;</t>
  </si>
  <si>
    <t>entrained road dust from ARB Emission Inventory Methodology 7.9, Entrained Paved Road Dust (1997),</t>
  </si>
  <si>
    <t>from dock to PBGS.</t>
  </si>
  <si>
    <t>using factors for LA County for freeways for delivery to Port of Los Angeles and local roads for delivery</t>
  </si>
  <si>
    <t>entrained road dust from ARB Emission Inventory Methodology 7.9, Entrained Paved</t>
  </si>
  <si>
    <t>Road Dust (1997), using factors for Los Angeles County local roads.</t>
  </si>
  <si>
    <t>Unit</t>
  </si>
  <si>
    <t>Max. Fuel
Use Rate
(gal/hr)</t>
  </si>
  <si>
    <t>Max. SO2
Emissions
(lbs/day)</t>
  </si>
  <si>
    <t>Max. Ammonium
Sulfate Emissions
(lbs/day)</t>
  </si>
  <si>
    <t>Mole Percent SO2 Oxidized to SO3</t>
  </si>
  <si>
    <t>Ratio of (NH4)2SO4 to SO2 mol. wt.</t>
  </si>
  <si>
    <t>Total</t>
  </si>
  <si>
    <t>Total Emission Change from Installation and Operation of SCR</t>
  </si>
  <si>
    <t>TABLE A-1</t>
  </si>
  <si>
    <t>ON-SITE CONSTRUCTION EQUIPMENT EMISSIONS</t>
  </si>
  <si>
    <t>TABLE A-2</t>
  </si>
  <si>
    <t>OFF-SITE MOTOR VEHICLE CONSTRUCTION EMISSIONS</t>
  </si>
  <si>
    <t>TOTAL PEAK DAILY CONSTRUCTION EMISSIONS</t>
  </si>
  <si>
    <t>TABLE A-3</t>
  </si>
  <si>
    <t>TABLE A-4 OPERATIONAL ON-SITE NOX AND CO EMISSIONS</t>
  </si>
  <si>
    <t>SO2 Emission Factor (lbs/1000 gal)</t>
  </si>
  <si>
    <t>TABLE A-5</t>
  </si>
  <si>
    <t xml:space="preserve">OPERATIONAL ON-SITE PEAK DAILY PM10 EMISSIONS </t>
  </si>
  <si>
    <t>TABLE A-6  CRITERIA AIR POLLUTANT EMISSIONS FROM UREA TRANSPORT BY TRUCK</t>
  </si>
  <si>
    <t>Delivery Truck</t>
  </si>
  <si>
    <t>TABLE A-7 HEALTH RISK ASSESSMENT</t>
  </si>
  <si>
    <r>
      <t xml:space="preserve">Emission Factors (lb/mile) </t>
    </r>
    <r>
      <rPr>
        <b/>
        <vertAlign val="superscript"/>
        <sz val="10"/>
        <rFont val="Arial"/>
        <family val="2"/>
      </rPr>
      <t>1</t>
    </r>
  </si>
  <si>
    <r>
      <t>Emissions (lb/day)</t>
    </r>
    <r>
      <rPr>
        <b/>
        <vertAlign val="superscript"/>
        <sz val="10"/>
        <rFont val="Arial"/>
        <family val="2"/>
      </rPr>
      <t xml:space="preserve"> 2</t>
    </r>
  </si>
  <si>
    <t>Number of Trips per Vehicle per Day</t>
  </si>
  <si>
    <t>Emissions (lb/day) = Number of Vehicles per Delivery x Number of Trips per Vehicle x</t>
  </si>
  <si>
    <r>
      <t>Emission w/o SCR, ppm</t>
    </r>
    <r>
      <rPr>
        <b/>
        <vertAlign val="superscript"/>
        <sz val="10"/>
        <rFont val="Arial"/>
        <family val="2"/>
      </rPr>
      <t>1</t>
    </r>
  </si>
  <si>
    <r>
      <t>MHU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lb/hr</t>
    </r>
  </si>
  <si>
    <r>
      <t>MHC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lb/hr</t>
    </r>
  </si>
  <si>
    <t>R1 MDU, lb/day</t>
  </si>
  <si>
    <t>R2, MDC, lb/day</t>
  </si>
  <si>
    <r>
      <t>AHU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lb/hr</t>
    </r>
  </si>
  <si>
    <r>
      <t>AHC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lb/hr</t>
    </r>
  </si>
  <si>
    <r>
      <t>ADU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lb/day</t>
    </r>
  </si>
  <si>
    <r>
      <t>ADC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lb/day</t>
    </r>
  </si>
  <si>
    <t>30 Day Avg, lb/day</t>
  </si>
  <si>
    <t>Max Annual Ems, lb/yr</t>
  </si>
  <si>
    <r>
      <t>CO</t>
    </r>
    <r>
      <rPr>
        <vertAlign val="superscript"/>
        <sz val="10"/>
        <rFont val="Arial"/>
        <family val="2"/>
      </rPr>
      <t xml:space="preserve"> </t>
    </r>
  </si>
  <si>
    <t>CEQA Significance Level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</si>
</sst>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E+00"/>
    <numFmt numFmtId="167" formatCode="0.0000"/>
    <numFmt numFmtId="168" formatCode="0.000000"/>
    <numFmt numFmtId="169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9"/>
      <name val="Arial"/>
      <family val="2"/>
    </font>
    <font>
      <b/>
      <vertAlign val="superscript"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Helv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</cellStyleXfs>
  <cellXfs count="191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9" fontId="5" fillId="0" borderId="0" xfId="22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" fontId="5" fillId="0" borderId="0" xfId="2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0" fontId="1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11" fontId="0" fillId="0" borderId="1" xfId="21" applyNumberFormat="1" applyFont="1" applyBorder="1" applyAlignment="1" quotePrefix="1">
      <alignment horizontal="center" vertical="center" wrapText="1"/>
      <protection/>
    </xf>
    <xf numFmtId="165" fontId="0" fillId="0" borderId="1" xfId="21" applyNumberFormat="1" applyFont="1" applyBorder="1" applyAlignment="1">
      <alignment horizontal="center"/>
      <protection/>
    </xf>
    <xf numFmtId="11" fontId="0" fillId="0" borderId="1" xfId="21" applyNumberFormat="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11" fontId="0" fillId="0" borderId="2" xfId="21" applyNumberFormat="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/>
      <protection/>
    </xf>
    <xf numFmtId="166" fontId="0" fillId="0" borderId="1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wrapText="1"/>
      <protection/>
    </xf>
    <xf numFmtId="1" fontId="0" fillId="0" borderId="0" xfId="21" applyNumberFormat="1" applyFont="1" applyBorder="1" applyAlignment="1">
      <alignment horizontal="center" vertical="center" wrapText="1"/>
      <protection/>
    </xf>
    <xf numFmtId="11" fontId="0" fillId="0" borderId="0" xfId="21" applyNumberFormat="1" applyFont="1" applyBorder="1" applyAlignment="1" quotePrefix="1">
      <alignment horizontal="center" vertical="center" wrapText="1"/>
      <protection/>
    </xf>
    <xf numFmtId="0" fontId="0" fillId="0" borderId="0" xfId="21" applyFont="1" applyBorder="1" applyAlignment="1">
      <alignment horizontal="center" vertical="center" wrapText="1"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0" borderId="6" xfId="21" applyFont="1" applyBorder="1" applyAlignment="1">
      <alignment horizontal="center" vertical="center" wrapText="1"/>
      <protection/>
    </xf>
    <xf numFmtId="11" fontId="0" fillId="0" borderId="6" xfId="21" applyNumberFormat="1" applyFont="1" applyBorder="1" applyAlignment="1">
      <alignment horizontal="center" vertical="center" wrapText="1"/>
      <protection/>
    </xf>
    <xf numFmtId="0" fontId="0" fillId="0" borderId="5" xfId="21" applyFont="1" applyBorder="1" applyAlignment="1">
      <alignment horizontal="center" vertical="center"/>
      <protection/>
    </xf>
    <xf numFmtId="164" fontId="0" fillId="0" borderId="7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11" fontId="0" fillId="0" borderId="0" xfId="21" applyNumberFormat="1" applyFont="1" applyBorder="1" applyAlignment="1">
      <alignment horizontal="center" wrapText="1"/>
      <protection/>
    </xf>
    <xf numFmtId="0" fontId="0" fillId="0" borderId="8" xfId="21" applyFont="1" applyBorder="1" applyAlignment="1">
      <alignment horizontal="left"/>
      <protection/>
    </xf>
    <xf numFmtId="0" fontId="0" fillId="0" borderId="0" xfId="21" applyFont="1" applyBorder="1" applyAlignment="1">
      <alignment wrapText="1"/>
      <protection/>
    </xf>
    <xf numFmtId="11" fontId="0" fillId="0" borderId="9" xfId="21" applyNumberFormat="1" applyFont="1" applyBorder="1" applyAlignment="1">
      <alignment horizontal="center"/>
      <protection/>
    </xf>
    <xf numFmtId="0" fontId="0" fillId="0" borderId="8" xfId="21" applyFont="1" applyBorder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11" fontId="0" fillId="0" borderId="9" xfId="21" applyNumberFormat="1" applyFont="1" applyBorder="1">
      <alignment/>
      <protection/>
    </xf>
    <xf numFmtId="11" fontId="0" fillId="0" borderId="0" xfId="21" applyNumberFormat="1" applyFont="1" applyBorder="1">
      <alignment/>
      <protection/>
    </xf>
    <xf numFmtId="0" fontId="0" fillId="0" borderId="8" xfId="21" applyFont="1" applyBorder="1" applyAlignment="1">
      <alignment horizontal="center"/>
      <protection/>
    </xf>
    <xf numFmtId="11" fontId="0" fillId="0" borderId="9" xfId="21" applyNumberFormat="1" applyFont="1" applyBorder="1" applyAlignment="1">
      <alignment horizontal="center" wrapText="1"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1" xfId="21" applyFont="1" applyBorder="1" applyAlignment="1">
      <alignment horizontal="center"/>
      <protection/>
    </xf>
    <xf numFmtId="11" fontId="0" fillId="0" borderId="12" xfId="21" applyNumberFormat="1" applyFont="1" applyBorder="1" applyAlignment="1">
      <alignment horizontal="center"/>
      <protection/>
    </xf>
    <xf numFmtId="1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 wrapText="1"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Alignment="1">
      <alignment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" fillId="0" borderId="13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6" fillId="0" borderId="0" xfId="2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21" applyAlignment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0" fontId="0" fillId="0" borderId="1" xfId="21" applyFont="1" applyBorder="1" applyAlignment="1">
      <alignment horizontal="center"/>
      <protection/>
    </xf>
    <xf numFmtId="11" fontId="0" fillId="0" borderId="2" xfId="21" applyNumberFormat="1" applyFont="1" applyBorder="1" applyAlignment="1" quotePrefix="1">
      <alignment horizontal="center" vertical="center" wrapText="1"/>
      <protection/>
    </xf>
    <xf numFmtId="165" fontId="0" fillId="0" borderId="2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/>
      <protection/>
    </xf>
    <xf numFmtId="166" fontId="0" fillId="0" borderId="2" xfId="21" applyNumberFormat="1" applyFont="1" applyFill="1" applyBorder="1" applyAlignment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2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quotePrefix="1">
      <alignment/>
    </xf>
    <xf numFmtId="0" fontId="13" fillId="0" borderId="0" xfId="0" applyFont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2" fontId="0" fillId="0" borderId="0" xfId="21" applyNumberFormat="1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2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2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4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1" fillId="0" borderId="14" xfId="21" applyFont="1" applyBorder="1" applyAlignment="1">
      <alignment horizontal="center" vertical="center" wrapText="1"/>
      <protection/>
    </xf>
    <xf numFmtId="0" fontId="1" fillId="0" borderId="23" xfId="21" applyFont="1" applyBorder="1" applyAlignment="1">
      <alignment horizontal="center" vertical="center" wrapText="1"/>
      <protection/>
    </xf>
    <xf numFmtId="0" fontId="1" fillId="0" borderId="22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/>
      <protection/>
    </xf>
    <xf numFmtId="0" fontId="1" fillId="0" borderId="4" xfId="21" applyFont="1" applyBorder="1" applyAlignment="1">
      <alignment horizontal="center" vertical="center" wrapText="1"/>
      <protection/>
    </xf>
    <xf numFmtId="0" fontId="1" fillId="0" borderId="13" xfId="21" applyFont="1" applyBorder="1" applyAlignment="1">
      <alignment horizontal="center" vertical="center" wrapText="1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23" xfId="21" applyFont="1" applyBorder="1" applyAlignment="1">
      <alignment horizontal="center" vertical="center"/>
      <protection/>
    </xf>
    <xf numFmtId="0" fontId="1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s" xfId="21"/>
    <cellStyle name="Percent" xfId="22"/>
    <cellStyle name="TnkCalx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ALCS_ab2588_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POST%20PROJECT%20HRA\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105Appendix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ssel GLC and Background Calcs"/>
      <sheetName val="Vessel Threshold Evaluation"/>
      <sheetName val="Vessel TAC Modeling Inputs"/>
    </sheetNames>
    <sheetDataSet>
      <sheetData sheetId="0">
        <row r="26">
          <cell r="D26">
            <v>11.64</v>
          </cell>
        </row>
      </sheetData>
      <sheetData sheetId="2">
        <row r="9">
          <cell r="B9">
            <v>11.68921</v>
          </cell>
          <cell r="G9">
            <v>1164</v>
          </cell>
          <cell r="H9">
            <v>58200</v>
          </cell>
        </row>
        <row r="10">
          <cell r="B10">
            <v>1.12075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18.140625" style="94" customWidth="1"/>
    <col min="2" max="2" width="7.8515625" style="95" customWidth="1"/>
    <col min="3" max="3" width="10.8515625" style="95" customWidth="1"/>
    <col min="4" max="4" width="11.8515625" style="95" customWidth="1"/>
    <col min="5" max="6" width="10.140625" style="94" customWidth="1"/>
    <col min="7" max="7" width="10.421875" style="94" customWidth="1"/>
    <col min="8" max="8" width="10.28125" style="94" customWidth="1"/>
    <col min="9" max="10" width="10.140625" style="94" customWidth="1"/>
    <col min="11" max="11" width="9.421875" style="94" customWidth="1"/>
    <col min="12" max="12" width="10.140625" style="94" customWidth="1"/>
    <col min="13" max="13" width="8.8515625" style="94" customWidth="1"/>
    <col min="14" max="14" width="10.140625" style="94" customWidth="1"/>
    <col min="15" max="15" width="9.28125" style="94" customWidth="1"/>
    <col min="16" max="16384" width="9.140625" style="94" customWidth="1"/>
  </cols>
  <sheetData>
    <row r="2" spans="1:15" ht="19.5" customHeight="1">
      <c r="A2" s="155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9.5" customHeight="1">
      <c r="A3" s="155" t="s">
        <v>144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19.5" customHeight="1">
      <c r="A4" s="155" t="s">
        <v>98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9.5" customHeight="1">
      <c r="A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7" spans="1:15" ht="19.5" customHeight="1">
      <c r="A7" s="159" t="s">
        <v>82</v>
      </c>
      <c r="B7" s="159" t="s">
        <v>86</v>
      </c>
      <c r="C7" s="156" t="s">
        <v>94</v>
      </c>
      <c r="D7" s="160" t="s">
        <v>87</v>
      </c>
      <c r="E7" s="160" t="s">
        <v>95</v>
      </c>
      <c r="F7" s="158" t="s">
        <v>91</v>
      </c>
      <c r="G7" s="158"/>
      <c r="H7" s="158" t="s">
        <v>100</v>
      </c>
      <c r="I7" s="158"/>
      <c r="J7" s="158" t="s">
        <v>92</v>
      </c>
      <c r="K7" s="158"/>
      <c r="L7" s="158" t="s">
        <v>80</v>
      </c>
      <c r="M7" s="158"/>
      <c r="N7" s="158" t="s">
        <v>88</v>
      </c>
      <c r="O7" s="158"/>
    </row>
    <row r="8" spans="1:15" ht="59.25" customHeight="1">
      <c r="A8" s="159"/>
      <c r="B8" s="159"/>
      <c r="C8" s="157"/>
      <c r="D8" s="160"/>
      <c r="E8" s="160"/>
      <c r="F8" s="96" t="s">
        <v>90</v>
      </c>
      <c r="G8" s="96" t="s">
        <v>79</v>
      </c>
      <c r="H8" s="96" t="s">
        <v>90</v>
      </c>
      <c r="I8" s="96" t="s">
        <v>79</v>
      </c>
      <c r="J8" s="96" t="s">
        <v>89</v>
      </c>
      <c r="K8" s="96" t="s">
        <v>79</v>
      </c>
      <c r="L8" s="96" t="s">
        <v>89</v>
      </c>
      <c r="M8" s="96" t="s">
        <v>79</v>
      </c>
      <c r="N8" s="96" t="s">
        <v>89</v>
      </c>
      <c r="O8" s="96" t="s">
        <v>79</v>
      </c>
    </row>
    <row r="9" spans="1:15" ht="19.5" customHeight="1">
      <c r="A9" s="97" t="s">
        <v>84</v>
      </c>
      <c r="B9" s="98">
        <v>175</v>
      </c>
      <c r="C9" s="98">
        <v>30</v>
      </c>
      <c r="D9" s="98">
        <v>8</v>
      </c>
      <c r="E9" s="98">
        <f>B9*(C9/100)*D9</f>
        <v>420</v>
      </c>
      <c r="F9" s="98">
        <v>0.013</v>
      </c>
      <c r="G9" s="101">
        <f>F9*E9</f>
        <v>5.46</v>
      </c>
      <c r="H9" s="98">
        <v>0.003</v>
      </c>
      <c r="I9" s="101">
        <f>H9*E9</f>
        <v>1.26</v>
      </c>
      <c r="J9" s="98">
        <v>0.031</v>
      </c>
      <c r="K9" s="101">
        <f>J9*E9</f>
        <v>13.02</v>
      </c>
      <c r="L9" s="98">
        <v>0.002</v>
      </c>
      <c r="M9" s="101">
        <f>L9*E9</f>
        <v>0.84</v>
      </c>
      <c r="N9" s="98">
        <v>0.0015</v>
      </c>
      <c r="O9" s="101">
        <f>N9*E9</f>
        <v>0.63</v>
      </c>
    </row>
    <row r="10" spans="1:15" ht="19.5" customHeight="1">
      <c r="A10" s="97" t="s">
        <v>85</v>
      </c>
      <c r="B10" s="98">
        <v>300</v>
      </c>
      <c r="C10" s="98">
        <v>62</v>
      </c>
      <c r="D10" s="98">
        <v>8</v>
      </c>
      <c r="E10" s="98">
        <f>B10*(C10/100)*D10</f>
        <v>1488</v>
      </c>
      <c r="F10" s="98">
        <v>0.006</v>
      </c>
      <c r="G10" s="101">
        <f>F10*E10</f>
        <v>8.928</v>
      </c>
      <c r="H10" s="98">
        <v>0.002</v>
      </c>
      <c r="I10" s="101">
        <f>H10*E10</f>
        <v>2.976</v>
      </c>
      <c r="J10" s="98">
        <v>0.021</v>
      </c>
      <c r="K10" s="101">
        <f>J10*E10</f>
        <v>31.248</v>
      </c>
      <c r="L10" s="98">
        <v>0.002</v>
      </c>
      <c r="M10" s="101">
        <f>L10*E10</f>
        <v>2.976</v>
      </c>
      <c r="N10" s="98">
        <v>0.0015</v>
      </c>
      <c r="O10" s="101">
        <f>N10*E10</f>
        <v>2.232</v>
      </c>
    </row>
    <row r="11" spans="1:15" ht="19.5" customHeight="1">
      <c r="A11" s="97" t="s">
        <v>83</v>
      </c>
      <c r="B11" s="98">
        <v>300</v>
      </c>
      <c r="C11" s="98">
        <v>43</v>
      </c>
      <c r="D11" s="98">
        <v>8</v>
      </c>
      <c r="E11" s="98">
        <f>B11*(C11/100)*D11</f>
        <v>1032</v>
      </c>
      <c r="F11" s="98">
        <v>0.009</v>
      </c>
      <c r="G11" s="101">
        <f>F11*E11</f>
        <v>9.287999999999998</v>
      </c>
      <c r="H11" s="98">
        <v>0.003</v>
      </c>
      <c r="I11" s="101">
        <f>H11*E11</f>
        <v>3.096</v>
      </c>
      <c r="J11" s="98">
        <v>0.023</v>
      </c>
      <c r="K11" s="101">
        <f>J11*E11</f>
        <v>23.736</v>
      </c>
      <c r="L11" s="98">
        <v>0.002</v>
      </c>
      <c r="M11" s="101">
        <f>L11*E11</f>
        <v>2.064</v>
      </c>
      <c r="N11" s="98">
        <v>0.0015</v>
      </c>
      <c r="O11" s="101">
        <f>N11*E11</f>
        <v>1.548</v>
      </c>
    </row>
    <row r="12" spans="1:15" ht="19.5" customHeight="1">
      <c r="A12" s="97" t="s">
        <v>93</v>
      </c>
      <c r="B12" s="98">
        <v>65</v>
      </c>
      <c r="C12" s="98">
        <v>45</v>
      </c>
      <c r="D12" s="98">
        <v>8</v>
      </c>
      <c r="E12" s="98">
        <f>B12*(C12/100)*D12</f>
        <v>234</v>
      </c>
      <c r="F12" s="98">
        <v>0.02</v>
      </c>
      <c r="G12" s="101">
        <f>F12*E12</f>
        <v>4.68</v>
      </c>
      <c r="H12" s="98">
        <v>0.003</v>
      </c>
      <c r="I12" s="101">
        <f>H12*E12</f>
        <v>0.7020000000000001</v>
      </c>
      <c r="J12" s="98">
        <v>0.024</v>
      </c>
      <c r="K12" s="101">
        <f>J12*E12</f>
        <v>5.6160000000000005</v>
      </c>
      <c r="L12" s="98">
        <v>0.002</v>
      </c>
      <c r="M12" s="101">
        <f>L12*E12</f>
        <v>0.468</v>
      </c>
      <c r="N12" s="98">
        <v>0.0015</v>
      </c>
      <c r="O12" s="101">
        <f>N12*E12</f>
        <v>0.35100000000000003</v>
      </c>
    </row>
    <row r="13" spans="1:15" ht="19.5" customHeight="1">
      <c r="A13" s="153" t="s">
        <v>96</v>
      </c>
      <c r="B13" s="154"/>
      <c r="C13" s="154"/>
      <c r="D13" s="154"/>
      <c r="E13" s="154"/>
      <c r="F13" s="154"/>
      <c r="G13" s="146">
        <f>SUM(G9:G12)</f>
        <v>28.356</v>
      </c>
      <c r="H13" s="147"/>
      <c r="I13" s="146">
        <f>SUM(I9:I12)</f>
        <v>8.034</v>
      </c>
      <c r="J13" s="147"/>
      <c r="K13" s="146">
        <f>SUM(K9:K12)</f>
        <v>73.62</v>
      </c>
      <c r="L13" s="147"/>
      <c r="M13" s="146">
        <f>SUM(M9:M12)</f>
        <v>6.348</v>
      </c>
      <c r="N13" s="147"/>
      <c r="O13" s="148">
        <f>SUM(O9:O12)</f>
        <v>4.761</v>
      </c>
    </row>
    <row r="14" ht="19.5" customHeight="1">
      <c r="A14" s="94" t="s">
        <v>97</v>
      </c>
    </row>
    <row r="16" ht="19.5" customHeight="1">
      <c r="A16" s="94" t="s">
        <v>109</v>
      </c>
    </row>
    <row r="17" ht="19.5" customHeight="1">
      <c r="A17" s="107" t="s">
        <v>108</v>
      </c>
    </row>
  </sheetData>
  <mergeCells count="14">
    <mergeCell ref="E7:E8"/>
    <mergeCell ref="F7:G7"/>
    <mergeCell ref="H7:I7"/>
    <mergeCell ref="J7:K7"/>
    <mergeCell ref="A13:F13"/>
    <mergeCell ref="A2:O2"/>
    <mergeCell ref="A3:O3"/>
    <mergeCell ref="A4:O4"/>
    <mergeCell ref="C7:C8"/>
    <mergeCell ref="N7:O7"/>
    <mergeCell ref="A7:A8"/>
    <mergeCell ref="B7:B8"/>
    <mergeCell ref="D7:D8"/>
    <mergeCell ref="L7:M7"/>
  </mergeCells>
  <printOptions horizontalCentered="1"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6" sqref="A6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4" max="4" width="10.28125" style="0" customWidth="1"/>
    <col min="5" max="5" width="23.57421875" style="0" customWidth="1"/>
    <col min="6" max="6" width="10.7109375" style="0" customWidth="1"/>
    <col min="7" max="7" width="11.4218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5" s="94" customFormat="1" ht="19.5" customHeight="1">
      <c r="A1" s="155" t="s">
        <v>145</v>
      </c>
      <c r="B1" s="155"/>
      <c r="C1" s="155"/>
      <c r="D1" s="155"/>
      <c r="E1" s="155"/>
      <c r="F1" s="155"/>
      <c r="G1" s="155"/>
      <c r="H1" s="93"/>
      <c r="I1" s="93"/>
      <c r="J1" s="93"/>
      <c r="K1" s="93"/>
      <c r="L1" s="93"/>
      <c r="M1" s="93"/>
      <c r="N1" s="93"/>
      <c r="O1" s="93"/>
    </row>
    <row r="2" spans="1:15" s="94" customFormat="1" ht="19.5" customHeight="1">
      <c r="A2" s="155" t="s">
        <v>146</v>
      </c>
      <c r="B2" s="155"/>
      <c r="C2" s="155"/>
      <c r="D2" s="155"/>
      <c r="E2" s="155"/>
      <c r="F2" s="155"/>
      <c r="G2" s="155"/>
      <c r="H2" s="93"/>
      <c r="I2" s="93"/>
      <c r="J2" s="93"/>
      <c r="K2" s="93"/>
      <c r="L2" s="93"/>
      <c r="M2" s="93"/>
      <c r="N2" s="93"/>
      <c r="O2" s="93"/>
    </row>
    <row r="6" spans="1:7" ht="52.5">
      <c r="A6" s="149" t="s">
        <v>99</v>
      </c>
      <c r="B6" s="131" t="s">
        <v>112</v>
      </c>
      <c r="C6" s="131" t="s">
        <v>117</v>
      </c>
      <c r="D6" s="131" t="s">
        <v>110</v>
      </c>
      <c r="E6" s="131" t="s">
        <v>105</v>
      </c>
      <c r="F6" s="131" t="s">
        <v>156</v>
      </c>
      <c r="G6" s="131" t="s">
        <v>157</v>
      </c>
    </row>
    <row r="7" spans="1:7" ht="12.75">
      <c r="A7" s="145" t="s">
        <v>123</v>
      </c>
      <c r="B7" s="103">
        <v>10</v>
      </c>
      <c r="C7" s="103">
        <v>2</v>
      </c>
      <c r="D7" s="103">
        <v>0.5</v>
      </c>
      <c r="E7" s="105" t="s">
        <v>91</v>
      </c>
      <c r="F7" s="105">
        <v>0.01815</v>
      </c>
      <c r="G7" s="105">
        <f aca="true" t="shared" si="0" ref="G7:G12">$B$7*$C$7*$D$7*F7</f>
        <v>0.1815</v>
      </c>
    </row>
    <row r="8" spans="1:7" ht="12.75">
      <c r="A8" s="143"/>
      <c r="B8" s="104"/>
      <c r="C8" s="104"/>
      <c r="D8" s="104"/>
      <c r="E8" s="129" t="s">
        <v>92</v>
      </c>
      <c r="F8" s="129">
        <v>0.002014</v>
      </c>
      <c r="G8" s="129">
        <f t="shared" si="0"/>
        <v>0.02014</v>
      </c>
    </row>
    <row r="9" spans="1:7" ht="12.75">
      <c r="A9" s="143"/>
      <c r="B9" s="104"/>
      <c r="C9" s="104"/>
      <c r="D9" s="104"/>
      <c r="E9" s="129" t="s">
        <v>100</v>
      </c>
      <c r="F9" s="129">
        <v>0.001935</v>
      </c>
      <c r="G9" s="129">
        <f t="shared" si="0"/>
        <v>0.01935</v>
      </c>
    </row>
    <row r="10" spans="1:7" ht="12.75">
      <c r="A10" s="143"/>
      <c r="B10" s="104"/>
      <c r="C10" s="104"/>
      <c r="D10" s="104"/>
      <c r="E10" s="129" t="s">
        <v>80</v>
      </c>
      <c r="F10" s="129">
        <v>1E-05</v>
      </c>
      <c r="G10" s="129">
        <f t="shared" si="0"/>
        <v>0.0001</v>
      </c>
    </row>
    <row r="11" spans="1:7" ht="25.5" customHeight="1">
      <c r="A11" s="143"/>
      <c r="B11" s="104"/>
      <c r="C11" s="104"/>
      <c r="D11" s="104"/>
      <c r="E11" s="134" t="s">
        <v>128</v>
      </c>
      <c r="F11" s="129">
        <v>0.000112</v>
      </c>
      <c r="G11" s="129">
        <f t="shared" si="0"/>
        <v>0.00112</v>
      </c>
    </row>
    <row r="12" spans="1:7" ht="12.75">
      <c r="A12" s="143"/>
      <c r="B12" s="104"/>
      <c r="C12" s="104"/>
      <c r="D12" s="104"/>
      <c r="E12" s="135" t="s">
        <v>126</v>
      </c>
      <c r="F12" s="132">
        <f>3434/1000000</f>
        <v>0.003434</v>
      </c>
      <c r="G12" s="129">
        <f t="shared" si="0"/>
        <v>0.03434</v>
      </c>
    </row>
    <row r="13" spans="1:7" ht="12.75">
      <c r="A13" s="144"/>
      <c r="B13" s="105"/>
      <c r="C13" s="105"/>
      <c r="D13" s="105"/>
      <c r="E13" s="129" t="s">
        <v>127</v>
      </c>
      <c r="F13" s="129"/>
      <c r="G13" s="129">
        <f>G11+G12</f>
        <v>0.035460000000000005</v>
      </c>
    </row>
    <row r="14" spans="1:7" ht="12.75">
      <c r="A14" s="145" t="s">
        <v>111</v>
      </c>
      <c r="B14" s="103">
        <v>1</v>
      </c>
      <c r="C14" s="103">
        <v>2</v>
      </c>
      <c r="D14" s="103">
        <v>0.5</v>
      </c>
      <c r="E14" s="129" t="s">
        <v>91</v>
      </c>
      <c r="F14" s="129">
        <v>0.025508</v>
      </c>
      <c r="G14" s="129">
        <f aca="true" t="shared" si="1" ref="G14:G19">$B$14*$C$14*$D$14*F14</f>
        <v>0.025508</v>
      </c>
    </row>
    <row r="15" spans="1:7" ht="12.75">
      <c r="A15" s="104"/>
      <c r="B15" s="104"/>
      <c r="C15" s="104"/>
      <c r="D15" s="104"/>
      <c r="E15" s="129" t="s">
        <v>92</v>
      </c>
      <c r="F15" s="129">
        <v>0.031208</v>
      </c>
      <c r="G15" s="129">
        <f t="shared" si="1"/>
        <v>0.031208</v>
      </c>
    </row>
    <row r="16" spans="1:7" ht="12.75">
      <c r="A16" s="104"/>
      <c r="B16" s="104"/>
      <c r="C16" s="104"/>
      <c r="D16" s="104"/>
      <c r="E16" s="129" t="s">
        <v>100</v>
      </c>
      <c r="F16" s="129">
        <v>0.003362</v>
      </c>
      <c r="G16" s="129">
        <f t="shared" si="1"/>
        <v>0.003362</v>
      </c>
    </row>
    <row r="17" spans="1:7" ht="12.75">
      <c r="A17" s="104"/>
      <c r="B17" s="104"/>
      <c r="C17" s="104"/>
      <c r="D17" s="104"/>
      <c r="E17" s="129" t="s">
        <v>80</v>
      </c>
      <c r="F17" s="129">
        <v>0.000241</v>
      </c>
      <c r="G17" s="129">
        <f t="shared" si="1"/>
        <v>0.000241</v>
      </c>
    </row>
    <row r="18" spans="1:7" ht="26.25">
      <c r="A18" s="104"/>
      <c r="B18" s="104"/>
      <c r="C18" s="104"/>
      <c r="D18" s="104"/>
      <c r="E18" s="134" t="s">
        <v>128</v>
      </c>
      <c r="F18" s="129">
        <v>0.001003</v>
      </c>
      <c r="G18" s="129">
        <f t="shared" si="1"/>
        <v>0.001003</v>
      </c>
    </row>
    <row r="19" spans="1:7" ht="12.75">
      <c r="A19" s="104"/>
      <c r="B19" s="104"/>
      <c r="C19" s="104"/>
      <c r="D19" s="104"/>
      <c r="E19" s="135" t="s">
        <v>126</v>
      </c>
      <c r="F19" s="136">
        <f>3434/1000000</f>
        <v>0.003434</v>
      </c>
      <c r="G19" s="129">
        <f t="shared" si="1"/>
        <v>0.003434</v>
      </c>
    </row>
    <row r="20" spans="1:7" ht="12.75">
      <c r="A20" s="105"/>
      <c r="B20" s="105"/>
      <c r="C20" s="105"/>
      <c r="D20" s="105"/>
      <c r="E20" s="129" t="s">
        <v>127</v>
      </c>
      <c r="F20" s="129"/>
      <c r="G20" s="129">
        <f>G18+G19</f>
        <v>0.004437</v>
      </c>
    </row>
    <row r="22" spans="3:7" ht="12.75">
      <c r="C22" s="111" t="s">
        <v>107</v>
      </c>
      <c r="D22" s="108"/>
      <c r="E22" s="112"/>
      <c r="F22" s="129" t="s">
        <v>91</v>
      </c>
      <c r="G22" s="129">
        <f>G7+G14</f>
        <v>0.207008</v>
      </c>
    </row>
    <row r="23" spans="3:7" ht="12.75">
      <c r="C23" s="113" t="s">
        <v>113</v>
      </c>
      <c r="D23" s="7"/>
      <c r="E23" s="114"/>
      <c r="F23" s="129" t="s">
        <v>92</v>
      </c>
      <c r="G23" s="129">
        <f>G8+G15</f>
        <v>0.051348000000000005</v>
      </c>
    </row>
    <row r="24" spans="3:7" ht="12.75">
      <c r="C24" s="113" t="s">
        <v>114</v>
      </c>
      <c r="D24" s="7"/>
      <c r="E24" s="114"/>
      <c r="F24" s="129" t="s">
        <v>100</v>
      </c>
      <c r="G24" s="129">
        <f>G9+G16</f>
        <v>0.022712</v>
      </c>
    </row>
    <row r="25" spans="3:7" ht="12.75">
      <c r="C25" s="113"/>
      <c r="D25" s="7"/>
      <c r="E25" s="114"/>
      <c r="F25" s="129" t="s">
        <v>80</v>
      </c>
      <c r="G25" s="129">
        <f>G10+G17</f>
        <v>0.000341</v>
      </c>
    </row>
    <row r="26" spans="3:7" ht="12.75">
      <c r="C26" s="115"/>
      <c r="D26" s="109"/>
      <c r="E26" s="116"/>
      <c r="F26" s="129" t="s">
        <v>106</v>
      </c>
      <c r="G26" s="129">
        <f>G13+G20</f>
        <v>0.039897</v>
      </c>
    </row>
    <row r="29" ht="12.75">
      <c r="A29" t="s">
        <v>42</v>
      </c>
    </row>
    <row r="30" spans="1:2" ht="12.75">
      <c r="A30" s="66">
        <v>1</v>
      </c>
      <c r="B30" t="s">
        <v>115</v>
      </c>
    </row>
    <row r="31" spans="1:2" ht="12.75">
      <c r="A31" s="66"/>
      <c r="B31" t="s">
        <v>129</v>
      </c>
    </row>
    <row r="32" spans="1:2" ht="12.75">
      <c r="A32" s="66"/>
      <c r="B32" t="s">
        <v>133</v>
      </c>
    </row>
    <row r="33" spans="1:2" ht="12.75">
      <c r="A33" s="66"/>
      <c r="B33" t="s">
        <v>134</v>
      </c>
    </row>
    <row r="34" spans="1:2" ht="12.75">
      <c r="A34" s="66">
        <v>2</v>
      </c>
      <c r="B34" t="s">
        <v>122</v>
      </c>
    </row>
    <row r="35" ht="12.75">
      <c r="B35" s="106" t="s">
        <v>116</v>
      </c>
    </row>
  </sheetData>
  <mergeCells count="2">
    <mergeCell ref="A1:G1"/>
    <mergeCell ref="A2:G2"/>
  </mergeCells>
  <printOptions horizontalCentered="1"/>
  <pageMargins left="0.75" right="0.75" top="1" bottom="1" header="0.5" footer="0.5"/>
  <pageSetup fitToHeight="1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workbookViewId="0" topLeftCell="A1">
      <selection activeCell="A1" sqref="A1"/>
    </sheetView>
  </sheetViews>
  <sheetFormatPr defaultColWidth="9.140625" defaultRowHeight="19.5" customHeight="1"/>
  <cols>
    <col min="1" max="1" width="31.57421875" style="94" customWidth="1"/>
    <col min="2" max="2" width="20.140625" style="94" customWidth="1"/>
    <col min="3" max="3" width="20.28125" style="94" customWidth="1"/>
    <col min="4" max="5" width="20.140625" style="94" customWidth="1"/>
    <col min="6" max="6" width="19.421875" style="94" customWidth="1"/>
    <col min="7" max="16384" width="9.140625" style="94" customWidth="1"/>
  </cols>
  <sheetData>
    <row r="2" spans="1:6" ht="19.5" customHeight="1">
      <c r="A2" s="155" t="s">
        <v>148</v>
      </c>
      <c r="B2" s="155"/>
      <c r="C2" s="155"/>
      <c r="D2" s="155"/>
      <c r="E2" s="155"/>
      <c r="F2" s="155"/>
    </row>
    <row r="3" spans="1:6" ht="19.5" customHeight="1">
      <c r="A3" s="155" t="s">
        <v>147</v>
      </c>
      <c r="B3" s="155"/>
      <c r="C3" s="155"/>
      <c r="D3" s="155"/>
      <c r="E3" s="155"/>
      <c r="F3" s="155"/>
    </row>
    <row r="4" spans="1:6" ht="19.5" customHeight="1">
      <c r="A4" s="95"/>
      <c r="B4" s="95"/>
      <c r="C4" s="95"/>
      <c r="D4" s="95"/>
      <c r="E4" s="95"/>
      <c r="F4" s="95"/>
    </row>
    <row r="6" spans="1:6" ht="19.5" customHeight="1">
      <c r="A6" s="159" t="s">
        <v>0</v>
      </c>
      <c r="B6" s="99" t="s">
        <v>91</v>
      </c>
      <c r="C6" s="99" t="s">
        <v>100</v>
      </c>
      <c r="D6" s="99" t="s">
        <v>92</v>
      </c>
      <c r="E6" s="99" t="s">
        <v>80</v>
      </c>
      <c r="F6" s="99" t="s">
        <v>88</v>
      </c>
    </row>
    <row r="7" spans="1:6" ht="18.75" customHeight="1">
      <c r="A7" s="159"/>
      <c r="B7" s="96" t="s">
        <v>79</v>
      </c>
      <c r="C7" s="96" t="s">
        <v>79</v>
      </c>
      <c r="D7" s="96" t="s">
        <v>79</v>
      </c>
      <c r="E7" s="96" t="s">
        <v>79</v>
      </c>
      <c r="F7" s="96" t="s">
        <v>79</v>
      </c>
    </row>
    <row r="8" spans="1:6" ht="19.5" customHeight="1">
      <c r="A8" s="97" t="s">
        <v>101</v>
      </c>
      <c r="B8" s="101">
        <f>'Table A-1'!G13</f>
        <v>28.356</v>
      </c>
      <c r="C8" s="101">
        <f>'Table A-1'!I13</f>
        <v>8.034</v>
      </c>
      <c r="D8" s="101">
        <f>'Table A-1'!K13</f>
        <v>73.62</v>
      </c>
      <c r="E8" s="101">
        <f>'Table A-1'!M13</f>
        <v>6.348</v>
      </c>
      <c r="F8" s="101">
        <f>'Table A-1'!O13</f>
        <v>4.761</v>
      </c>
    </row>
    <row r="9" spans="1:6" ht="19.5" customHeight="1">
      <c r="A9" s="97" t="s">
        <v>102</v>
      </c>
      <c r="B9" s="101">
        <f>'Table A-2'!G22</f>
        <v>0.207008</v>
      </c>
      <c r="C9" s="101">
        <f>'Table A-2'!G24</f>
        <v>0.022712</v>
      </c>
      <c r="D9" s="101">
        <f>'Table A-2'!G23</f>
        <v>0.051348000000000005</v>
      </c>
      <c r="E9" s="101">
        <f>'Table A-2'!G25</f>
        <v>0.000341</v>
      </c>
      <c r="F9" s="101">
        <f>'Table A-2'!G26</f>
        <v>0.039897</v>
      </c>
    </row>
    <row r="10" spans="1:6" ht="19.5" customHeight="1">
      <c r="A10" s="97" t="s">
        <v>96</v>
      </c>
      <c r="B10" s="101">
        <f>SUM(B8:B9)</f>
        <v>28.563008</v>
      </c>
      <c r="C10" s="101">
        <f>SUM(C8:C9)</f>
        <v>8.056712000000001</v>
      </c>
      <c r="D10" s="101">
        <f>SUM(D8:D9)</f>
        <v>73.67134800000001</v>
      </c>
      <c r="E10" s="101">
        <f>SUM(E8:E9)</f>
        <v>6.348341</v>
      </c>
      <c r="F10" s="101">
        <f>SUM(F8:F9)</f>
        <v>4.800897</v>
      </c>
    </row>
    <row r="11" spans="1:6" ht="19.5" customHeight="1">
      <c r="A11" s="97" t="s">
        <v>172</v>
      </c>
      <c r="B11" s="98">
        <v>550</v>
      </c>
      <c r="C11" s="98">
        <v>75</v>
      </c>
      <c r="D11" s="98">
        <v>100</v>
      </c>
      <c r="E11" s="98">
        <v>150</v>
      </c>
      <c r="F11" s="98">
        <v>150</v>
      </c>
    </row>
    <row r="12" spans="1:6" ht="19.5" customHeight="1">
      <c r="A12" s="100" t="s">
        <v>103</v>
      </c>
      <c r="B12" s="98" t="s">
        <v>104</v>
      </c>
      <c r="C12" s="98" t="s">
        <v>104</v>
      </c>
      <c r="D12" s="98" t="s">
        <v>104</v>
      </c>
      <c r="E12" s="98" t="s">
        <v>104</v>
      </c>
      <c r="F12" s="98" t="s">
        <v>104</v>
      </c>
    </row>
  </sheetData>
  <mergeCells count="3">
    <mergeCell ref="A2:F2"/>
    <mergeCell ref="A3:F3"/>
    <mergeCell ref="A6:A7"/>
  </mergeCells>
  <printOptions horizont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8" customWidth="1"/>
    <col min="2" max="2" width="10.28125" style="0" customWidth="1"/>
    <col min="3" max="3" width="9.28125" style="66" customWidth="1"/>
    <col min="4" max="4" width="11.7109375" style="0" customWidth="1"/>
    <col min="5" max="5" width="9.7109375" style="4" customWidth="1"/>
    <col min="6" max="6" width="9.8515625" style="4" customWidth="1"/>
    <col min="7" max="8" width="7.8515625" style="0" customWidth="1"/>
    <col min="9" max="9" width="9.421875" style="0" customWidth="1"/>
    <col min="10" max="10" width="8.140625" style="0" customWidth="1"/>
    <col min="11" max="11" width="6.7109375" style="0" customWidth="1"/>
    <col min="12" max="12" width="7.57421875" style="0" customWidth="1"/>
    <col min="13" max="13" width="8.28125" style="0" customWidth="1"/>
    <col min="14" max="14" width="8.00390625" style="0" customWidth="1"/>
  </cols>
  <sheetData>
    <row r="2" ht="12.75">
      <c r="F2"/>
    </row>
    <row r="3" spans="2:16" ht="12.75">
      <c r="B3" s="162" t="s">
        <v>149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2:16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6" spans="1:17" s="137" customFormat="1" ht="52.5">
      <c r="A6" s="131" t="s">
        <v>68</v>
      </c>
      <c r="B6" s="131" t="s">
        <v>1</v>
      </c>
      <c r="C6" s="131" t="s">
        <v>160</v>
      </c>
      <c r="D6" s="131" t="s">
        <v>64</v>
      </c>
      <c r="E6" s="131" t="s">
        <v>61</v>
      </c>
      <c r="F6" s="131" t="s">
        <v>2</v>
      </c>
      <c r="G6" s="131" t="s">
        <v>4</v>
      </c>
      <c r="H6" s="131" t="s">
        <v>161</v>
      </c>
      <c r="I6" s="131" t="s">
        <v>162</v>
      </c>
      <c r="J6" s="131" t="s">
        <v>163</v>
      </c>
      <c r="K6" s="131" t="s">
        <v>164</v>
      </c>
      <c r="L6" s="131" t="s">
        <v>165</v>
      </c>
      <c r="M6" s="131" t="s">
        <v>166</v>
      </c>
      <c r="N6" s="131" t="s">
        <v>167</v>
      </c>
      <c r="O6" s="131" t="s">
        <v>168</v>
      </c>
      <c r="P6" s="131" t="s">
        <v>169</v>
      </c>
      <c r="Q6" s="131" t="s">
        <v>170</v>
      </c>
    </row>
    <row r="7" spans="1:17" s="5" customFormat="1" ht="12.75">
      <c r="A7" s="161" t="s">
        <v>69</v>
      </c>
      <c r="B7" s="138" t="s">
        <v>3</v>
      </c>
      <c r="C7" s="139">
        <v>1130</v>
      </c>
      <c r="D7" s="139">
        <v>113</v>
      </c>
      <c r="E7" s="139">
        <v>5000</v>
      </c>
      <c r="F7" s="140">
        <f aca="true" t="shared" si="0" ref="F7:F18">24*365</f>
        <v>8760</v>
      </c>
      <c r="G7" s="141">
        <f aca="true" t="shared" si="1" ref="G7:G18">F7/365</f>
        <v>24</v>
      </c>
      <c r="H7" s="17">
        <f>(C7/1000000)*E7*(46/379)*60</f>
        <v>41.14511873350923</v>
      </c>
      <c r="I7" s="17">
        <f>H7*(1-0.9)</f>
        <v>4.114511873350922</v>
      </c>
      <c r="J7" s="1">
        <f aca="true" t="shared" si="2" ref="J7:J16">H7*G7</f>
        <v>987.4828496042214</v>
      </c>
      <c r="K7" s="1">
        <f>H7*G7*(1-0.9)</f>
        <v>98.74828496042213</v>
      </c>
      <c r="L7" s="2">
        <f aca="true" t="shared" si="3" ref="L7:O8">H7*0.6</f>
        <v>24.687071240105535</v>
      </c>
      <c r="M7" s="2">
        <f t="shared" si="3"/>
        <v>2.4687071240105527</v>
      </c>
      <c r="N7" s="1">
        <f t="shared" si="3"/>
        <v>592.4897097625328</v>
      </c>
      <c r="O7" s="1">
        <f t="shared" si="3"/>
        <v>59.248970976253275</v>
      </c>
      <c r="P7" s="3">
        <f aca="true" t="shared" si="4" ref="P7:P16">K7</f>
        <v>98.74828496042213</v>
      </c>
      <c r="Q7" s="142">
        <f>K7*365</f>
        <v>36043.12401055408</v>
      </c>
    </row>
    <row r="8" spans="1:17" s="5" customFormat="1" ht="15">
      <c r="A8" s="161"/>
      <c r="B8" s="138" t="s">
        <v>171</v>
      </c>
      <c r="C8" s="139">
        <v>300</v>
      </c>
      <c r="D8" s="139">
        <v>150</v>
      </c>
      <c r="E8" s="139">
        <v>5000</v>
      </c>
      <c r="F8" s="140">
        <f t="shared" si="0"/>
        <v>8760</v>
      </c>
      <c r="G8" s="141">
        <f t="shared" si="1"/>
        <v>24</v>
      </c>
      <c r="H8" s="17">
        <f>(C8/1000000)*E8*(28/379)*60</f>
        <v>6.6490765171503945</v>
      </c>
      <c r="I8" s="17">
        <f>H8*(1-0.5)</f>
        <v>3.3245382585751972</v>
      </c>
      <c r="J8" s="1">
        <f t="shared" si="2"/>
        <v>159.57783641160947</v>
      </c>
      <c r="K8" s="1">
        <f>H8*G8*(1-0.5)</f>
        <v>79.78891820580473</v>
      </c>
      <c r="L8" s="2">
        <f t="shared" si="3"/>
        <v>3.9894459102902364</v>
      </c>
      <c r="M8" s="2">
        <f t="shared" si="3"/>
        <v>1.9947229551451182</v>
      </c>
      <c r="N8" s="1">
        <f t="shared" si="3"/>
        <v>95.74670184696568</v>
      </c>
      <c r="O8" s="1">
        <f t="shared" si="3"/>
        <v>47.87335092348284</v>
      </c>
      <c r="P8" s="3">
        <f t="shared" si="4"/>
        <v>79.78891820580473</v>
      </c>
      <c r="Q8" s="142">
        <f aca="true" t="shared" si="5" ref="Q8:Q16">K8*365</f>
        <v>29122.95514511873</v>
      </c>
    </row>
    <row r="9" spans="1:17" s="76" customFormat="1" ht="12.75">
      <c r="A9" s="163" t="s">
        <v>70</v>
      </c>
      <c r="B9" s="138" t="s">
        <v>3</v>
      </c>
      <c r="C9" s="139">
        <v>1130</v>
      </c>
      <c r="D9" s="139">
        <v>113</v>
      </c>
      <c r="E9" s="139">
        <v>5333</v>
      </c>
      <c r="F9" s="140">
        <f t="shared" si="0"/>
        <v>8760</v>
      </c>
      <c r="G9" s="141">
        <f t="shared" si="1"/>
        <v>24</v>
      </c>
      <c r="H9" s="17">
        <f>(C9/1000000)*E9*(46/379)*60</f>
        <v>43.88538364116095</v>
      </c>
      <c r="I9" s="17">
        <f>H9*(1-0.9)</f>
        <v>4.388538364116094</v>
      </c>
      <c r="J9" s="1">
        <f t="shared" si="2"/>
        <v>1053.2492073878627</v>
      </c>
      <c r="K9" s="1">
        <f>H9*G9*(1-0.9)</f>
        <v>105.32492073878625</v>
      </c>
      <c r="L9" s="2">
        <f aca="true" t="shared" si="6" ref="L9:O16">H9*0.6</f>
        <v>26.33123018469657</v>
      </c>
      <c r="M9" s="2">
        <f t="shared" si="6"/>
        <v>2.6331230184696564</v>
      </c>
      <c r="N9" s="1">
        <f t="shared" si="6"/>
        <v>631.9495244327176</v>
      </c>
      <c r="O9" s="1">
        <f t="shared" si="6"/>
        <v>63.194952443271745</v>
      </c>
      <c r="P9" s="3">
        <f t="shared" si="4"/>
        <v>105.32492073878625</v>
      </c>
      <c r="Q9" s="142">
        <f t="shared" si="5"/>
        <v>38443.59606965698</v>
      </c>
    </row>
    <row r="10" spans="1:17" s="76" customFormat="1" ht="15">
      <c r="A10" s="163"/>
      <c r="B10" s="138" t="s">
        <v>171</v>
      </c>
      <c r="C10" s="139">
        <v>300</v>
      </c>
      <c r="D10" s="139">
        <v>150</v>
      </c>
      <c r="E10" s="139">
        <v>5333</v>
      </c>
      <c r="F10" s="140">
        <f t="shared" si="0"/>
        <v>8760</v>
      </c>
      <c r="G10" s="141">
        <f t="shared" si="1"/>
        <v>24</v>
      </c>
      <c r="H10" s="17">
        <f>(C10/1000000)*E10*(28/379)*60</f>
        <v>7.091905013192612</v>
      </c>
      <c r="I10" s="17">
        <f>H10*(1-0.5)</f>
        <v>3.545952506596306</v>
      </c>
      <c r="J10" s="1">
        <f t="shared" si="2"/>
        <v>170.2057203166227</v>
      </c>
      <c r="K10" s="1">
        <f>H10*G10*(1-0.5)</f>
        <v>85.10286015831134</v>
      </c>
      <c r="L10" s="2">
        <f t="shared" si="6"/>
        <v>4.255143007915567</v>
      </c>
      <c r="M10" s="2">
        <f t="shared" si="6"/>
        <v>2.1275715039577836</v>
      </c>
      <c r="N10" s="1">
        <f t="shared" si="6"/>
        <v>102.12343218997361</v>
      </c>
      <c r="O10" s="1">
        <f t="shared" si="6"/>
        <v>51.06171609498681</v>
      </c>
      <c r="P10" s="3">
        <f t="shared" si="4"/>
        <v>85.10286015831134</v>
      </c>
      <c r="Q10" s="142">
        <f t="shared" si="5"/>
        <v>31062.54395778364</v>
      </c>
    </row>
    <row r="11" spans="1:17" s="5" customFormat="1" ht="12.75">
      <c r="A11" s="164" t="s">
        <v>71</v>
      </c>
      <c r="B11" s="138" t="s">
        <v>3</v>
      </c>
      <c r="C11" s="139">
        <v>1400</v>
      </c>
      <c r="D11" s="139">
        <v>113</v>
      </c>
      <c r="E11" s="139">
        <v>5500</v>
      </c>
      <c r="F11" s="140">
        <f t="shared" si="0"/>
        <v>8760</v>
      </c>
      <c r="G11" s="141">
        <f t="shared" si="1"/>
        <v>24</v>
      </c>
      <c r="H11" s="17">
        <f>(C11/1000000)*E11*(46/379)*60</f>
        <v>56.07387862796834</v>
      </c>
      <c r="I11" s="17">
        <f>H11*(1-0.92)</f>
        <v>4.485910290237465</v>
      </c>
      <c r="J11" s="1">
        <f t="shared" si="2"/>
        <v>1345.7730870712403</v>
      </c>
      <c r="K11" s="1">
        <f>H11*G11*(1-0.92)</f>
        <v>107.66184696569917</v>
      </c>
      <c r="L11" s="2">
        <f t="shared" si="6"/>
        <v>33.644327176781005</v>
      </c>
      <c r="M11" s="2">
        <f t="shared" si="6"/>
        <v>2.691546174142479</v>
      </c>
      <c r="N11" s="1">
        <f t="shared" si="6"/>
        <v>807.4638522427441</v>
      </c>
      <c r="O11" s="1">
        <f t="shared" si="6"/>
        <v>64.5971081794195</v>
      </c>
      <c r="P11" s="3">
        <f t="shared" si="4"/>
        <v>107.66184696569917</v>
      </c>
      <c r="Q11" s="142">
        <f t="shared" si="5"/>
        <v>39296.574142480196</v>
      </c>
    </row>
    <row r="12" spans="1:17" s="5" customFormat="1" ht="15">
      <c r="A12" s="164"/>
      <c r="B12" s="138" t="s">
        <v>171</v>
      </c>
      <c r="C12" s="139">
        <v>300</v>
      </c>
      <c r="D12" s="139">
        <v>150</v>
      </c>
      <c r="E12" s="139">
        <v>5500</v>
      </c>
      <c r="F12" s="140">
        <f t="shared" si="0"/>
        <v>8760</v>
      </c>
      <c r="G12" s="141">
        <f t="shared" si="1"/>
        <v>24</v>
      </c>
      <c r="H12" s="17">
        <f>(C12/1000000)*E12*(28/379)*60</f>
        <v>7.313984168865435</v>
      </c>
      <c r="I12" s="17">
        <f>H12*(1-0.5)</f>
        <v>3.6569920844327175</v>
      </c>
      <c r="J12" s="1">
        <f t="shared" si="2"/>
        <v>175.53562005277044</v>
      </c>
      <c r="K12" s="1">
        <f>H12*G12*(1-0.5)</f>
        <v>87.76781002638522</v>
      </c>
      <c r="L12" s="2">
        <f t="shared" si="6"/>
        <v>4.388390501319261</v>
      </c>
      <c r="M12" s="2">
        <f t="shared" si="6"/>
        <v>2.1941952506596305</v>
      </c>
      <c r="N12" s="1">
        <f t="shared" si="6"/>
        <v>105.32137203166226</v>
      </c>
      <c r="O12" s="1">
        <f t="shared" si="6"/>
        <v>52.66068601583113</v>
      </c>
      <c r="P12" s="3">
        <f t="shared" si="4"/>
        <v>87.76781002638522</v>
      </c>
      <c r="Q12" s="142">
        <f t="shared" si="5"/>
        <v>32035.250659630605</v>
      </c>
    </row>
    <row r="13" spans="1:17" s="5" customFormat="1" ht="12.75">
      <c r="A13" s="161" t="s">
        <v>72</v>
      </c>
      <c r="B13" s="138" t="s">
        <v>3</v>
      </c>
      <c r="C13" s="139">
        <v>1240</v>
      </c>
      <c r="D13" s="139">
        <v>124</v>
      </c>
      <c r="E13" s="139">
        <v>5417</v>
      </c>
      <c r="F13" s="140">
        <f>24*365</f>
        <v>8760</v>
      </c>
      <c r="G13" s="141">
        <f>F13/365</f>
        <v>24</v>
      </c>
      <c r="H13" s="17">
        <f>(C13/1000000)*E13*(46/379)*60</f>
        <v>48.91593878627969</v>
      </c>
      <c r="I13" s="17">
        <f>H13*(1-0.9)</f>
        <v>4.891593878627968</v>
      </c>
      <c r="J13" s="1">
        <f>H13*G13</f>
        <v>1173.9825308707125</v>
      </c>
      <c r="K13" s="1">
        <f>H13*G13*(1-0.9)</f>
        <v>117.39825308707123</v>
      </c>
      <c r="L13" s="2">
        <f t="shared" si="6"/>
        <v>29.349563271767813</v>
      </c>
      <c r="M13" s="2">
        <f t="shared" si="6"/>
        <v>2.934956327176781</v>
      </c>
      <c r="N13" s="1">
        <f t="shared" si="6"/>
        <v>704.3895185224275</v>
      </c>
      <c r="O13" s="1">
        <f t="shared" si="6"/>
        <v>70.43895185224274</v>
      </c>
      <c r="P13" s="3">
        <f>K13</f>
        <v>117.39825308707123</v>
      </c>
      <c r="Q13" s="142">
        <f>K13*365</f>
        <v>42850.362376781</v>
      </c>
    </row>
    <row r="14" spans="1:17" s="5" customFormat="1" ht="15">
      <c r="A14" s="161"/>
      <c r="B14" s="138" t="s">
        <v>171</v>
      </c>
      <c r="C14" s="139">
        <v>300</v>
      </c>
      <c r="D14" s="139">
        <v>150</v>
      </c>
      <c r="E14" s="139">
        <v>5417</v>
      </c>
      <c r="F14" s="140">
        <f>24*365</f>
        <v>8760</v>
      </c>
      <c r="G14" s="141">
        <f>F14/365</f>
        <v>24</v>
      </c>
      <c r="H14" s="17">
        <f>(C14/1000000)*E14*(28/379)*60</f>
        <v>7.203609498680738</v>
      </c>
      <c r="I14" s="17">
        <f>H14*(1-0.5)</f>
        <v>3.601804749340369</v>
      </c>
      <c r="J14" s="1">
        <f>H14*G14</f>
        <v>172.8866279683377</v>
      </c>
      <c r="K14" s="1">
        <f>H14*G14*(1-0.5)</f>
        <v>86.44331398416885</v>
      </c>
      <c r="L14" s="2">
        <f t="shared" si="6"/>
        <v>4.322165699208442</v>
      </c>
      <c r="M14" s="2">
        <f t="shared" si="6"/>
        <v>2.161082849604221</v>
      </c>
      <c r="N14" s="1">
        <f t="shared" si="6"/>
        <v>103.73197678100261</v>
      </c>
      <c r="O14" s="1">
        <f t="shared" si="6"/>
        <v>51.86598839050131</v>
      </c>
      <c r="P14" s="3">
        <f>K14</f>
        <v>86.44331398416885</v>
      </c>
      <c r="Q14" s="142">
        <f>K14*365</f>
        <v>31551.80960422163</v>
      </c>
    </row>
    <row r="15" spans="1:17" s="5" customFormat="1" ht="12.75">
      <c r="A15" s="161" t="s">
        <v>73</v>
      </c>
      <c r="B15" s="138" t="s">
        <v>3</v>
      </c>
      <c r="C15" s="139">
        <v>1200</v>
      </c>
      <c r="D15" s="139">
        <v>120</v>
      </c>
      <c r="E15" s="139">
        <v>6667</v>
      </c>
      <c r="F15" s="140">
        <f t="shared" si="0"/>
        <v>8760</v>
      </c>
      <c r="G15" s="141">
        <f t="shared" si="1"/>
        <v>24</v>
      </c>
      <c r="H15" s="17">
        <f>(C15/1000000)*E15*(46/379)*60</f>
        <v>58.26148812664907</v>
      </c>
      <c r="I15" s="17">
        <f>H15*(1-0.9)</f>
        <v>5.826148812664906</v>
      </c>
      <c r="J15" s="1">
        <f t="shared" si="2"/>
        <v>1398.2757150395778</v>
      </c>
      <c r="K15" s="1">
        <f>H15*G15*(1-0.9)</f>
        <v>139.82757150395776</v>
      </c>
      <c r="L15" s="2">
        <f t="shared" si="6"/>
        <v>34.95689287598944</v>
      </c>
      <c r="M15" s="2">
        <f t="shared" si="6"/>
        <v>3.4956892875989434</v>
      </c>
      <c r="N15" s="1">
        <f t="shared" si="6"/>
        <v>838.9654290237467</v>
      </c>
      <c r="O15" s="1">
        <f t="shared" si="6"/>
        <v>83.89654290237465</v>
      </c>
      <c r="P15" s="3">
        <f t="shared" si="4"/>
        <v>139.82757150395776</v>
      </c>
      <c r="Q15" s="142">
        <f t="shared" si="5"/>
        <v>51037.06359894458</v>
      </c>
    </row>
    <row r="16" spans="1:17" s="5" customFormat="1" ht="15">
      <c r="A16" s="161"/>
      <c r="B16" s="138" t="s">
        <v>171</v>
      </c>
      <c r="C16" s="139">
        <v>300</v>
      </c>
      <c r="D16" s="139">
        <v>150</v>
      </c>
      <c r="E16" s="139">
        <v>6667</v>
      </c>
      <c r="F16" s="140">
        <f t="shared" si="0"/>
        <v>8760</v>
      </c>
      <c r="G16" s="141">
        <f t="shared" si="1"/>
        <v>24</v>
      </c>
      <c r="H16" s="17">
        <f>(C16/1000000)*E16*(28/379)*60</f>
        <v>8.865878627968335</v>
      </c>
      <c r="I16" s="17">
        <f>H16*(1-0.5)</f>
        <v>4.432939313984168</v>
      </c>
      <c r="J16" s="1">
        <f t="shared" si="2"/>
        <v>212.78108707124005</v>
      </c>
      <c r="K16" s="1">
        <f>H16*G16*(1-0.5)</f>
        <v>106.39054353562003</v>
      </c>
      <c r="L16" s="2">
        <f t="shared" si="6"/>
        <v>5.319527176781001</v>
      </c>
      <c r="M16" s="2">
        <f t="shared" si="6"/>
        <v>2.6597635883905006</v>
      </c>
      <c r="N16" s="1">
        <f t="shared" si="6"/>
        <v>127.66865224274403</v>
      </c>
      <c r="O16" s="1">
        <f t="shared" si="6"/>
        <v>63.834326121372015</v>
      </c>
      <c r="P16" s="3">
        <f t="shared" si="4"/>
        <v>106.39054353562003</v>
      </c>
      <c r="Q16" s="142">
        <f t="shared" si="5"/>
        <v>38832.54839050131</v>
      </c>
    </row>
    <row r="17" spans="1:17" s="5" customFormat="1" ht="12.75">
      <c r="A17" s="161" t="s">
        <v>74</v>
      </c>
      <c r="B17" s="138" t="s">
        <v>3</v>
      </c>
      <c r="C17" s="139">
        <v>550</v>
      </c>
      <c r="D17" s="139">
        <v>55</v>
      </c>
      <c r="E17" s="139">
        <v>10417</v>
      </c>
      <c r="F17" s="140">
        <f t="shared" si="0"/>
        <v>8760</v>
      </c>
      <c r="G17" s="141">
        <f t="shared" si="1"/>
        <v>24</v>
      </c>
      <c r="H17" s="17">
        <f>(C17/1000000)*E17*(46/379)*60</f>
        <v>41.7229709762533</v>
      </c>
      <c r="I17" s="17">
        <f>H17*(1-0.9)</f>
        <v>4.1722970976253295</v>
      </c>
      <c r="J17" s="1">
        <f>H17*G17</f>
        <v>1001.3513034300793</v>
      </c>
      <c r="K17" s="1">
        <f>H17*G17*(1-0.9)</f>
        <v>100.1351303430079</v>
      </c>
      <c r="L17" s="2">
        <f aca="true" t="shared" si="7" ref="L17:O18">H17*0.6</f>
        <v>25.03378258575198</v>
      </c>
      <c r="M17" s="2">
        <f t="shared" si="7"/>
        <v>2.503378258575198</v>
      </c>
      <c r="N17" s="1">
        <f t="shared" si="7"/>
        <v>600.8107820580475</v>
      </c>
      <c r="O17" s="1">
        <f t="shared" si="7"/>
        <v>60.08107820580474</v>
      </c>
      <c r="P17" s="3">
        <f>K17</f>
        <v>100.1351303430079</v>
      </c>
      <c r="Q17" s="142">
        <f>K17*365</f>
        <v>36549.32257519788</v>
      </c>
    </row>
    <row r="18" spans="1:17" s="5" customFormat="1" ht="15">
      <c r="A18" s="161"/>
      <c r="B18" s="138" t="s">
        <v>171</v>
      </c>
      <c r="C18" s="139">
        <v>300</v>
      </c>
      <c r="D18" s="139">
        <v>150</v>
      </c>
      <c r="E18" s="139">
        <v>10417</v>
      </c>
      <c r="F18" s="140">
        <f t="shared" si="0"/>
        <v>8760</v>
      </c>
      <c r="G18" s="141">
        <f t="shared" si="1"/>
        <v>24</v>
      </c>
      <c r="H18" s="17">
        <f>(C18/1000000)*E18*(28/379)*60</f>
        <v>13.852686015831134</v>
      </c>
      <c r="I18" s="17">
        <f>H18*(1-0.5)</f>
        <v>6.926343007915567</v>
      </c>
      <c r="J18" s="1">
        <f>H18*G18</f>
        <v>332.46446437994723</v>
      </c>
      <c r="K18" s="1">
        <f>H18*G18*(1-0.5)</f>
        <v>166.23223218997362</v>
      </c>
      <c r="L18" s="2">
        <f t="shared" si="7"/>
        <v>8.31161160949868</v>
      </c>
      <c r="M18" s="2">
        <f t="shared" si="7"/>
        <v>4.15580580474934</v>
      </c>
      <c r="N18" s="1">
        <f t="shared" si="7"/>
        <v>199.47867862796832</v>
      </c>
      <c r="O18" s="1">
        <f t="shared" si="7"/>
        <v>99.73933931398416</v>
      </c>
      <c r="P18" s="3">
        <f>K18</f>
        <v>166.23223218997362</v>
      </c>
      <c r="Q18" s="142">
        <f>K18*365</f>
        <v>60674.76474934037</v>
      </c>
    </row>
    <row r="19" spans="1:17" s="5" customFormat="1" ht="12.75">
      <c r="A19" s="79"/>
      <c r="B19" s="71"/>
      <c r="C19" s="15"/>
      <c r="D19" s="15"/>
      <c r="E19" s="72"/>
      <c r="F19" s="73"/>
      <c r="G19" s="74"/>
      <c r="H19" s="75"/>
      <c r="I19" s="75"/>
      <c r="J19" s="13"/>
      <c r="K19" s="13"/>
      <c r="L19" s="12"/>
      <c r="M19" s="12"/>
      <c r="N19" s="13"/>
      <c r="O19" s="13"/>
      <c r="P19" s="14"/>
      <c r="Q19" s="13"/>
    </row>
    <row r="20" spans="1:17" s="5" customFormat="1" ht="12.75">
      <c r="A20" s="79"/>
      <c r="B20" s="71"/>
      <c r="C20" s="15"/>
      <c r="D20" s="15"/>
      <c r="E20" s="72"/>
      <c r="F20" s="73"/>
      <c r="G20" s="74"/>
      <c r="H20" s="75"/>
      <c r="I20" s="75"/>
      <c r="J20" s="13"/>
      <c r="K20" s="13"/>
      <c r="L20" s="12"/>
      <c r="M20" s="12"/>
      <c r="N20" s="13"/>
      <c r="O20" s="13"/>
      <c r="P20" s="14"/>
      <c r="Q20" s="13"/>
    </row>
    <row r="21" spans="1:17" s="5" customFormat="1" ht="12.75">
      <c r="A21" s="79"/>
      <c r="B21" s="71"/>
      <c r="C21" s="15"/>
      <c r="D21" s="15"/>
      <c r="E21" s="72"/>
      <c r="F21" s="73"/>
      <c r="G21" s="74"/>
      <c r="H21" s="75"/>
      <c r="I21" s="75"/>
      <c r="J21" s="13"/>
      <c r="K21" s="13"/>
      <c r="L21" s="12"/>
      <c r="M21" s="12"/>
      <c r="N21" s="13"/>
      <c r="O21" s="13"/>
      <c r="P21" s="14"/>
      <c r="Q21" s="13"/>
    </row>
    <row r="22" spans="1:17" s="5" customFormat="1" ht="12.75">
      <c r="A22" s="79"/>
      <c r="B22" s="71"/>
      <c r="C22" s="15"/>
      <c r="D22" s="15"/>
      <c r="E22" s="72"/>
      <c r="F22" s="73"/>
      <c r="G22" s="74"/>
      <c r="I22" s="89" t="s">
        <v>78</v>
      </c>
      <c r="J22" s="13"/>
      <c r="K22" s="13"/>
      <c r="L22" s="12"/>
      <c r="M22" s="12"/>
      <c r="N22" s="13"/>
      <c r="O22" s="13"/>
      <c r="P22" s="14"/>
      <c r="Q22" s="13"/>
    </row>
    <row r="23" spans="1:14" s="7" customFormat="1" ht="12" customHeight="1">
      <c r="A23" s="77"/>
      <c r="C23" s="68"/>
      <c r="E23" s="6"/>
      <c r="F23" s="8"/>
      <c r="L23" s="68" t="s">
        <v>76</v>
      </c>
      <c r="M23" s="91">
        <f>J7+J9+J11+J13+J15+J17</f>
        <v>6960.114693403693</v>
      </c>
      <c r="N23" s="68" t="s">
        <v>79</v>
      </c>
    </row>
    <row r="24" spans="5:14" s="9" customFormat="1" ht="12.75">
      <c r="E24" s="8"/>
      <c r="F24" s="8"/>
      <c r="G24" s="7"/>
      <c r="H24" s="7"/>
      <c r="L24" s="9" t="s">
        <v>75</v>
      </c>
      <c r="M24" s="92">
        <f>J8+J10+J12+J14+J16+J18</f>
        <v>1223.4513562005277</v>
      </c>
      <c r="N24" s="9" t="s">
        <v>79</v>
      </c>
    </row>
    <row r="25" spans="2:8" s="9" customFormat="1" ht="12.75">
      <c r="B25" s="69"/>
      <c r="E25" s="8"/>
      <c r="F25" s="8"/>
      <c r="G25" s="7"/>
      <c r="H25" s="7"/>
    </row>
    <row r="26" spans="2:9" s="9" customFormat="1" ht="12.75">
      <c r="B26" s="69"/>
      <c r="E26" s="8"/>
      <c r="F26" s="8"/>
      <c r="G26" s="7"/>
      <c r="H26" s="90"/>
      <c r="I26" s="89" t="s">
        <v>77</v>
      </c>
    </row>
    <row r="27" spans="2:14" s="9" customFormat="1" ht="12.75">
      <c r="B27" s="69"/>
      <c r="E27" s="8"/>
      <c r="F27" s="8"/>
      <c r="G27" s="7"/>
      <c r="L27" s="68" t="s">
        <v>76</v>
      </c>
      <c r="M27" s="92">
        <f>K7+K9+K11+K13+K15+K17</f>
        <v>669.0960075989444</v>
      </c>
      <c r="N27" s="9" t="s">
        <v>79</v>
      </c>
    </row>
    <row r="28" spans="2:14" s="9" customFormat="1" ht="12.75">
      <c r="B28" s="69"/>
      <c r="E28" s="8"/>
      <c r="F28" s="8"/>
      <c r="G28" s="7"/>
      <c r="H28" s="7"/>
      <c r="L28" s="9" t="s">
        <v>75</v>
      </c>
      <c r="M28" s="92">
        <f>K8+K10+K12+K14+K16+K18</f>
        <v>611.7256781002638</v>
      </c>
      <c r="N28" s="9" t="s">
        <v>79</v>
      </c>
    </row>
    <row r="29" spans="2:13" s="9" customFormat="1" ht="12.75">
      <c r="B29" s="69"/>
      <c r="E29" s="8"/>
      <c r="F29" s="8"/>
      <c r="G29" s="7"/>
      <c r="H29" s="7"/>
      <c r="M29" s="92"/>
    </row>
    <row r="30" spans="2:14" s="9" customFormat="1" ht="12.75">
      <c r="B30" s="69"/>
      <c r="E30" s="8"/>
      <c r="F30" s="8"/>
      <c r="G30" s="7"/>
      <c r="H30" s="7"/>
      <c r="I30" s="89" t="s">
        <v>142</v>
      </c>
      <c r="J30" s="13"/>
      <c r="K30" s="13"/>
      <c r="L30" s="12"/>
      <c r="M30" s="12"/>
      <c r="N30" s="13"/>
    </row>
    <row r="31" spans="2:14" s="9" customFormat="1" ht="12.75">
      <c r="B31" s="69"/>
      <c r="E31" s="8"/>
      <c r="F31" s="8"/>
      <c r="G31" s="7"/>
      <c r="H31" s="7"/>
      <c r="I31" s="7"/>
      <c r="J31" s="7"/>
      <c r="K31" s="7"/>
      <c r="L31" s="68" t="s">
        <v>76</v>
      </c>
      <c r="M31" s="91">
        <f>M27-M23</f>
        <v>-6291.018685804749</v>
      </c>
      <c r="N31" s="68" t="s">
        <v>79</v>
      </c>
    </row>
    <row r="32" spans="2:14" s="9" customFormat="1" ht="12.75">
      <c r="B32" s="69"/>
      <c r="E32" s="8"/>
      <c r="F32" s="8"/>
      <c r="G32" s="7"/>
      <c r="H32" s="7"/>
      <c r="L32" s="9" t="s">
        <v>75</v>
      </c>
      <c r="M32" s="92">
        <f>M28-M24</f>
        <v>-611.7256781002638</v>
      </c>
      <c r="N32" s="9" t="s">
        <v>79</v>
      </c>
    </row>
    <row r="33" spans="2:8" s="9" customFormat="1" ht="12.75">
      <c r="B33" s="69"/>
      <c r="E33" s="8"/>
      <c r="F33" s="8"/>
      <c r="G33" s="7"/>
      <c r="H33" s="7"/>
    </row>
    <row r="34" spans="2:8" s="9" customFormat="1" ht="12.75">
      <c r="B34" s="69"/>
      <c r="E34" s="8"/>
      <c r="F34" s="8"/>
      <c r="G34" s="7"/>
      <c r="H34" s="7"/>
    </row>
    <row r="35" spans="2:8" s="9" customFormat="1" ht="12.75">
      <c r="B35" s="69" t="s">
        <v>42</v>
      </c>
      <c r="E35" s="8"/>
      <c r="F35" s="8"/>
      <c r="G35" s="7"/>
      <c r="H35" s="7"/>
    </row>
    <row r="36" ht="12.75">
      <c r="B36" t="s">
        <v>62</v>
      </c>
    </row>
    <row r="37" spans="2:10" ht="12.75">
      <c r="B37" t="s">
        <v>81</v>
      </c>
      <c r="J37" s="16"/>
    </row>
    <row r="38" spans="2:6" ht="12.75">
      <c r="B38" t="s">
        <v>63</v>
      </c>
      <c r="F38"/>
    </row>
    <row r="39" spans="2:6" ht="12.75">
      <c r="B39" t="s">
        <v>60</v>
      </c>
      <c r="F39"/>
    </row>
    <row r="40" spans="1:16" s="7" customFormat="1" ht="12.75">
      <c r="A40" s="77"/>
      <c r="C40" s="68"/>
      <c r="D40" s="15"/>
      <c r="E40" s="10"/>
      <c r="F40" s="11"/>
      <c r="G40" s="12"/>
      <c r="H40" s="12"/>
      <c r="I40" s="13"/>
      <c r="J40" s="13"/>
      <c r="K40" s="12"/>
      <c r="L40" s="12"/>
      <c r="M40" s="13"/>
      <c r="N40" s="13"/>
      <c r="O40" s="14"/>
      <c r="P40" s="13"/>
    </row>
    <row r="41" spans="1:16" s="7" customFormat="1" ht="12.75">
      <c r="A41" s="77"/>
      <c r="C41" s="68"/>
      <c r="D41" s="15"/>
      <c r="E41" s="10"/>
      <c r="F41" s="11"/>
      <c r="G41" s="12"/>
      <c r="H41" s="12"/>
      <c r="I41" s="13"/>
      <c r="J41" s="13"/>
      <c r="K41" s="12"/>
      <c r="L41" s="12"/>
      <c r="M41" s="13"/>
      <c r="N41" s="13"/>
      <c r="O41" s="14"/>
      <c r="P41" s="13"/>
    </row>
  </sheetData>
  <mergeCells count="7">
    <mergeCell ref="A13:A14"/>
    <mergeCell ref="A15:A16"/>
    <mergeCell ref="A17:A18"/>
    <mergeCell ref="B3:P3"/>
    <mergeCell ref="A7:A8"/>
    <mergeCell ref="A9:A10"/>
    <mergeCell ref="A11:A12"/>
  </mergeCells>
  <printOptions horizontalCentered="1"/>
  <pageMargins left="0.75" right="0.75" top="1" bottom="1" header="0.5" footer="0.5"/>
  <pageSetup fitToHeight="1" fitToWidth="1" horizontalDpi="300" verticalDpi="300" orientation="landscape" scale="81" r:id="rId1"/>
  <headerFooter alignWithMargins="0">
    <oddHeader xml:space="preserve">&amp;C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140625" defaultRowHeight="12.75"/>
  <cols>
    <col min="3" max="3" width="13.00390625" style="0" customWidth="1"/>
    <col min="4" max="4" width="19.28125" style="0" customWidth="1"/>
  </cols>
  <sheetData>
    <row r="2" spans="1:4" ht="12.75">
      <c r="A2" s="166" t="s">
        <v>151</v>
      </c>
      <c r="B2" s="166"/>
      <c r="C2" s="166"/>
      <c r="D2" s="166"/>
    </row>
    <row r="3" spans="1:4" ht="12.75">
      <c r="A3" s="166" t="s">
        <v>152</v>
      </c>
      <c r="B3" s="166"/>
      <c r="C3" s="166"/>
      <c r="D3" s="166"/>
    </row>
    <row r="5" spans="1:4" ht="52.5">
      <c r="A5" s="127" t="s">
        <v>135</v>
      </c>
      <c r="B5" s="128" t="s">
        <v>136</v>
      </c>
      <c r="C5" s="128" t="s">
        <v>137</v>
      </c>
      <c r="D5" s="128" t="s">
        <v>138</v>
      </c>
    </row>
    <row r="6" spans="1:4" ht="12.75">
      <c r="A6" s="129">
        <v>7</v>
      </c>
      <c r="B6" s="129">
        <v>65</v>
      </c>
      <c r="C6" s="1">
        <f aca="true" t="shared" si="0" ref="C6:C11">B6*$D$15*24/1000</f>
        <v>11.076</v>
      </c>
      <c r="D6" s="1">
        <f aca="true" t="shared" si="1" ref="D6:D11">C6*$D$16/100*$D$17</f>
        <v>1.1422125</v>
      </c>
    </row>
    <row r="7" spans="1:4" ht="12.75">
      <c r="A7" s="129">
        <v>8</v>
      </c>
      <c r="B7" s="129">
        <v>87</v>
      </c>
      <c r="C7" s="1">
        <f t="shared" si="0"/>
        <v>14.8248</v>
      </c>
      <c r="D7" s="1">
        <f t="shared" si="1"/>
        <v>1.5288074999999999</v>
      </c>
    </row>
    <row r="8" spans="1:4" ht="12.75">
      <c r="A8" s="129">
        <v>10</v>
      </c>
      <c r="B8" s="129">
        <v>69</v>
      </c>
      <c r="C8" s="1">
        <f t="shared" si="0"/>
        <v>11.757599999999998</v>
      </c>
      <c r="D8" s="1">
        <f t="shared" si="1"/>
        <v>1.2125024999999996</v>
      </c>
    </row>
    <row r="9" spans="1:4" ht="12.75">
      <c r="A9" s="129">
        <v>12</v>
      </c>
      <c r="B9" s="129">
        <v>91</v>
      </c>
      <c r="C9" s="1">
        <f t="shared" si="0"/>
        <v>15.506400000000001</v>
      </c>
      <c r="D9" s="1">
        <f t="shared" si="1"/>
        <v>1.5990975000000003</v>
      </c>
    </row>
    <row r="10" spans="1:4" ht="12.75">
      <c r="A10" s="129">
        <v>14</v>
      </c>
      <c r="B10" s="129">
        <v>92</v>
      </c>
      <c r="C10" s="1">
        <f t="shared" si="0"/>
        <v>15.6768</v>
      </c>
      <c r="D10" s="1">
        <f t="shared" si="1"/>
        <v>1.61667</v>
      </c>
    </row>
    <row r="11" spans="1:4" ht="12.75">
      <c r="A11" s="129">
        <v>15</v>
      </c>
      <c r="B11" s="129">
        <v>200</v>
      </c>
      <c r="C11" s="1">
        <f t="shared" si="0"/>
        <v>34.08</v>
      </c>
      <c r="D11" s="1">
        <f t="shared" si="1"/>
        <v>3.5144999999999995</v>
      </c>
    </row>
    <row r="12" spans="1:4" ht="12.75">
      <c r="A12" s="167" t="s">
        <v>141</v>
      </c>
      <c r="B12" s="168"/>
      <c r="C12" s="169"/>
      <c r="D12" s="130">
        <f>SUM(D6:D11)</f>
        <v>10.61379</v>
      </c>
    </row>
    <row r="15" spans="1:4" ht="12.75">
      <c r="A15" s="165" t="s">
        <v>150</v>
      </c>
      <c r="B15" s="165"/>
      <c r="C15" s="165"/>
      <c r="D15" s="129">
        <v>7.1</v>
      </c>
    </row>
    <row r="16" spans="1:4" ht="12.75">
      <c r="A16" s="165" t="s">
        <v>139</v>
      </c>
      <c r="B16" s="165"/>
      <c r="C16" s="165"/>
      <c r="D16" s="129">
        <v>5</v>
      </c>
    </row>
    <row r="17" spans="1:4" ht="12.75">
      <c r="A17" s="165" t="s">
        <v>140</v>
      </c>
      <c r="B17" s="165"/>
      <c r="C17" s="165"/>
      <c r="D17" s="1">
        <f>132/64</f>
        <v>2.0625</v>
      </c>
    </row>
  </sheetData>
  <mergeCells count="6">
    <mergeCell ref="A15:C15"/>
    <mergeCell ref="A16:C16"/>
    <mergeCell ref="A17:C17"/>
    <mergeCell ref="A2:D2"/>
    <mergeCell ref="A3:D3"/>
    <mergeCell ref="A12:C12"/>
  </mergeCells>
  <printOptions horizontalCentered="1"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9.140625" style="102" customWidth="1"/>
    <col min="3" max="3" width="10.57421875" style="66" customWidth="1"/>
    <col min="4" max="4" width="9.8515625" style="66" customWidth="1"/>
    <col min="5" max="5" width="10.421875" style="0" customWidth="1"/>
    <col min="6" max="6" width="23.57421875" style="66" customWidth="1"/>
    <col min="7" max="7" width="11.28125" style="66" customWidth="1"/>
    <col min="8" max="8" width="12.421875" style="66" customWidth="1"/>
  </cols>
  <sheetData>
    <row r="2" spans="1:8" ht="12.75">
      <c r="A2" s="178" t="s">
        <v>153</v>
      </c>
      <c r="B2" s="178"/>
      <c r="C2" s="178"/>
      <c r="D2" s="178"/>
      <c r="E2" s="178"/>
      <c r="F2" s="178"/>
      <c r="G2" s="178"/>
      <c r="H2" s="178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spans="1:8" ht="66">
      <c r="A4" s="179" t="s">
        <v>99</v>
      </c>
      <c r="B4" s="179"/>
      <c r="C4" s="131" t="s">
        <v>121</v>
      </c>
      <c r="D4" s="131" t="s">
        <v>158</v>
      </c>
      <c r="E4" s="131" t="s">
        <v>110</v>
      </c>
      <c r="F4" s="131" t="s">
        <v>105</v>
      </c>
      <c r="G4" s="131" t="s">
        <v>156</v>
      </c>
      <c r="H4" s="131" t="s">
        <v>157</v>
      </c>
    </row>
    <row r="5" spans="1:8" ht="12.75">
      <c r="A5" s="176" t="s">
        <v>154</v>
      </c>
      <c r="B5" s="177"/>
      <c r="C5" s="119">
        <v>1</v>
      </c>
      <c r="D5" s="103">
        <v>1</v>
      </c>
      <c r="E5" s="123">
        <v>500</v>
      </c>
      <c r="F5" s="129" t="s">
        <v>91</v>
      </c>
      <c r="G5" s="132">
        <v>0.025508</v>
      </c>
      <c r="H5" s="133">
        <f aca="true" t="shared" si="0" ref="H5:H10">$C$5*$D$5*$E$5*G5</f>
        <v>12.754</v>
      </c>
    </row>
    <row r="6" spans="1:8" ht="12.75">
      <c r="A6" s="113" t="s">
        <v>118</v>
      </c>
      <c r="B6" s="117"/>
      <c r="C6" s="120"/>
      <c r="D6" s="104"/>
      <c r="E6" s="125"/>
      <c r="F6" s="129" t="s">
        <v>92</v>
      </c>
      <c r="G6" s="132">
        <v>0.031208</v>
      </c>
      <c r="H6" s="133">
        <f t="shared" si="0"/>
        <v>15.604</v>
      </c>
    </row>
    <row r="7" spans="1:8" ht="12.75">
      <c r="A7" s="113" t="s">
        <v>119</v>
      </c>
      <c r="B7" s="117"/>
      <c r="C7" s="120"/>
      <c r="D7" s="104"/>
      <c r="E7" s="125"/>
      <c r="F7" s="129" t="s">
        <v>100</v>
      </c>
      <c r="G7" s="132">
        <v>0.003362</v>
      </c>
      <c r="H7" s="133">
        <f t="shared" si="0"/>
        <v>1.681</v>
      </c>
    </row>
    <row r="8" spans="1:8" ht="12.75">
      <c r="A8" s="113" t="s">
        <v>124</v>
      </c>
      <c r="B8" s="117"/>
      <c r="C8" s="120"/>
      <c r="D8" s="104"/>
      <c r="E8" s="125"/>
      <c r="F8" s="129" t="s">
        <v>80</v>
      </c>
      <c r="G8" s="132">
        <v>0.000241</v>
      </c>
      <c r="H8" s="133">
        <f t="shared" si="0"/>
        <v>0.1205</v>
      </c>
    </row>
    <row r="9" spans="1:8" ht="26.25">
      <c r="A9" s="113"/>
      <c r="B9" s="117"/>
      <c r="C9" s="120"/>
      <c r="D9" s="104"/>
      <c r="E9" s="125"/>
      <c r="F9" s="134" t="s">
        <v>128</v>
      </c>
      <c r="G9" s="132">
        <v>0.001003</v>
      </c>
      <c r="H9" s="133">
        <f t="shared" si="0"/>
        <v>0.5015</v>
      </c>
    </row>
    <row r="10" spans="1:8" ht="12.75">
      <c r="A10" s="113"/>
      <c r="B10" s="121"/>
      <c r="C10" s="104"/>
      <c r="D10" s="104"/>
      <c r="E10" s="104"/>
      <c r="F10" s="135" t="s">
        <v>126</v>
      </c>
      <c r="G10" s="132">
        <f>685.5/1000000</f>
        <v>0.0006855</v>
      </c>
      <c r="H10" s="133">
        <f t="shared" si="0"/>
        <v>0.34275</v>
      </c>
    </row>
    <row r="11" spans="1:8" ht="12.75">
      <c r="A11" s="113"/>
      <c r="B11" s="121"/>
      <c r="C11" s="105"/>
      <c r="D11" s="105"/>
      <c r="E11" s="105"/>
      <c r="F11" s="135" t="s">
        <v>127</v>
      </c>
      <c r="G11" s="132"/>
      <c r="H11" s="133">
        <f>H9+H10</f>
        <v>0.84425</v>
      </c>
    </row>
    <row r="12" spans="1:8" ht="12.75">
      <c r="A12" s="176" t="s">
        <v>154</v>
      </c>
      <c r="B12" s="177"/>
      <c r="C12" s="104">
        <v>1</v>
      </c>
      <c r="D12" s="104">
        <v>1</v>
      </c>
      <c r="E12" s="104">
        <v>0.6</v>
      </c>
      <c r="F12" s="135" t="s">
        <v>91</v>
      </c>
      <c r="G12" s="132">
        <v>0.025508</v>
      </c>
      <c r="H12" s="133">
        <f aca="true" t="shared" si="1" ref="H12:H17">$C$12*$D$12*$E$12*G12</f>
        <v>0.015304799999999999</v>
      </c>
    </row>
    <row r="13" spans="1:8" ht="12.75">
      <c r="A13" s="113" t="s">
        <v>118</v>
      </c>
      <c r="B13" s="117"/>
      <c r="C13" s="120"/>
      <c r="D13" s="104"/>
      <c r="E13" s="104"/>
      <c r="F13" s="129" t="s">
        <v>92</v>
      </c>
      <c r="G13" s="132">
        <v>0.031208</v>
      </c>
      <c r="H13" s="133">
        <f t="shared" si="1"/>
        <v>0.0187248</v>
      </c>
    </row>
    <row r="14" spans="1:8" ht="12.75">
      <c r="A14" s="113" t="s">
        <v>125</v>
      </c>
      <c r="B14" s="117"/>
      <c r="C14" s="120"/>
      <c r="D14" s="104"/>
      <c r="E14" s="104"/>
      <c r="F14" s="129" t="s">
        <v>100</v>
      </c>
      <c r="G14" s="132">
        <v>0.003362</v>
      </c>
      <c r="H14" s="133">
        <f t="shared" si="1"/>
        <v>0.0020172</v>
      </c>
    </row>
    <row r="15" spans="1:8" ht="12.75">
      <c r="A15" s="113"/>
      <c r="B15" s="117"/>
      <c r="C15" s="120"/>
      <c r="D15" s="104"/>
      <c r="E15" s="104"/>
      <c r="F15" s="129" t="s">
        <v>80</v>
      </c>
      <c r="G15" s="132">
        <v>0.000241</v>
      </c>
      <c r="H15" s="133">
        <f t="shared" si="1"/>
        <v>0.0001446</v>
      </c>
    </row>
    <row r="16" spans="1:8" ht="26.25">
      <c r="A16" s="113"/>
      <c r="B16" s="117"/>
      <c r="C16" s="120"/>
      <c r="D16" s="104"/>
      <c r="E16" s="104"/>
      <c r="F16" s="134" t="s">
        <v>128</v>
      </c>
      <c r="G16" s="132">
        <v>0.001003</v>
      </c>
      <c r="H16" s="133">
        <f t="shared" si="1"/>
        <v>0.0006018</v>
      </c>
    </row>
    <row r="17" spans="1:8" ht="12.75">
      <c r="A17" s="113"/>
      <c r="B17" s="117"/>
      <c r="C17" s="104"/>
      <c r="D17" s="104"/>
      <c r="E17" s="104"/>
      <c r="F17" s="135" t="s">
        <v>126</v>
      </c>
      <c r="G17" s="132">
        <f>3434/1000000</f>
        <v>0.003434</v>
      </c>
      <c r="H17" s="133">
        <f t="shared" si="1"/>
        <v>0.0020604</v>
      </c>
    </row>
    <row r="18" spans="1:8" ht="12.75">
      <c r="A18" s="115"/>
      <c r="B18" s="118"/>
      <c r="C18" s="105"/>
      <c r="D18" s="105"/>
      <c r="E18" s="105"/>
      <c r="F18" s="135" t="s">
        <v>127</v>
      </c>
      <c r="G18" s="132"/>
      <c r="H18" s="133">
        <f>H16+H17</f>
        <v>0.0026622</v>
      </c>
    </row>
    <row r="19" spans="2:8" s="7" customFormat="1" ht="12.75">
      <c r="B19" s="121"/>
      <c r="C19" s="68"/>
      <c r="D19" s="68"/>
      <c r="E19" s="68"/>
      <c r="G19" s="122"/>
      <c r="H19" s="124"/>
    </row>
    <row r="20" spans="1:8" ht="12.75">
      <c r="A20" s="7"/>
      <c r="B20" s="68"/>
      <c r="C20" s="68"/>
      <c r="D20" s="150" t="s">
        <v>120</v>
      </c>
      <c r="E20" s="151"/>
      <c r="F20" s="152"/>
      <c r="G20" s="132" t="s">
        <v>91</v>
      </c>
      <c r="H20" s="133">
        <f>H5+H12</f>
        <v>12.769304799999999</v>
      </c>
    </row>
    <row r="21" spans="1:8" ht="12.75">
      <c r="A21" s="7"/>
      <c r="B21" s="68"/>
      <c r="C21" s="68"/>
      <c r="D21" s="170"/>
      <c r="E21" s="171"/>
      <c r="F21" s="172"/>
      <c r="G21" s="132" t="s">
        <v>92</v>
      </c>
      <c r="H21" s="133">
        <f>H6+H13</f>
        <v>15.622724799999999</v>
      </c>
    </row>
    <row r="22" spans="1:8" ht="12.75">
      <c r="A22" s="7"/>
      <c r="B22" s="68"/>
      <c r="C22" s="68"/>
      <c r="D22" s="170"/>
      <c r="E22" s="171"/>
      <c r="F22" s="172"/>
      <c r="G22" s="132" t="s">
        <v>100</v>
      </c>
      <c r="H22" s="133">
        <f>H7+H14</f>
        <v>1.6830172</v>
      </c>
    </row>
    <row r="23" spans="2:8" ht="12.75">
      <c r="B23"/>
      <c r="C23"/>
      <c r="D23" s="170"/>
      <c r="E23" s="171"/>
      <c r="F23" s="172"/>
      <c r="G23" s="132" t="s">
        <v>80</v>
      </c>
      <c r="H23" s="133">
        <f>H8+H15</f>
        <v>0.12064459999999999</v>
      </c>
    </row>
    <row r="24" spans="2:8" ht="12.75">
      <c r="B24"/>
      <c r="D24" s="173"/>
      <c r="E24" s="174"/>
      <c r="F24" s="175"/>
      <c r="G24" s="132" t="s">
        <v>106</v>
      </c>
      <c r="H24" s="133">
        <f>H11+H18</f>
        <v>0.8469121999999999</v>
      </c>
    </row>
    <row r="25" spans="2:8" ht="12.75">
      <c r="B25"/>
      <c r="H25"/>
    </row>
    <row r="26" spans="1:8" ht="12.75">
      <c r="A26" t="s">
        <v>42</v>
      </c>
      <c r="B26"/>
      <c r="C26"/>
      <c r="D26"/>
      <c r="F26"/>
      <c r="G26"/>
      <c r="H26"/>
    </row>
    <row r="27" spans="1:8" ht="12.75">
      <c r="A27" s="66">
        <v>1</v>
      </c>
      <c r="B27" t="s">
        <v>115</v>
      </c>
      <c r="C27"/>
      <c r="D27"/>
      <c r="F27"/>
      <c r="G27"/>
      <c r="H27"/>
    </row>
    <row r="28" spans="1:8" ht="12.75">
      <c r="A28" s="66"/>
      <c r="B28" t="s">
        <v>129</v>
      </c>
      <c r="C28"/>
      <c r="D28"/>
      <c r="F28"/>
      <c r="G28"/>
      <c r="H28"/>
    </row>
    <row r="29" spans="1:8" ht="12.75">
      <c r="A29" s="66"/>
      <c r="B29" t="s">
        <v>130</v>
      </c>
      <c r="C29"/>
      <c r="D29"/>
      <c r="F29"/>
      <c r="G29"/>
      <c r="H29"/>
    </row>
    <row r="30" spans="1:8" ht="12.75">
      <c r="A30" s="66"/>
      <c r="B30" t="s">
        <v>132</v>
      </c>
      <c r="C30"/>
      <c r="D30"/>
      <c r="F30"/>
      <c r="G30"/>
      <c r="H30"/>
    </row>
    <row r="31" spans="1:8" ht="12.75">
      <c r="A31" s="66"/>
      <c r="B31" t="s">
        <v>131</v>
      </c>
      <c r="C31"/>
      <c r="D31"/>
      <c r="F31"/>
      <c r="G31"/>
      <c r="H31"/>
    </row>
    <row r="32" spans="1:8" ht="12.75">
      <c r="A32" s="66">
        <v>2</v>
      </c>
      <c r="B32" t="s">
        <v>159</v>
      </c>
      <c r="C32"/>
      <c r="D32"/>
      <c r="F32"/>
      <c r="G32"/>
      <c r="H32"/>
    </row>
    <row r="33" spans="2:8" ht="12.75">
      <c r="B33" s="106" t="s">
        <v>116</v>
      </c>
      <c r="C33"/>
      <c r="D33"/>
      <c r="F33"/>
      <c r="G33"/>
      <c r="H33"/>
    </row>
    <row r="34" spans="2:8" ht="12.75">
      <c r="B34"/>
      <c r="C34"/>
      <c r="D34"/>
      <c r="F34"/>
      <c r="G34"/>
      <c r="H34"/>
    </row>
  </sheetData>
  <mergeCells count="5">
    <mergeCell ref="D20:F24"/>
    <mergeCell ref="A12:B12"/>
    <mergeCell ref="A2:H2"/>
    <mergeCell ref="A4:B4"/>
    <mergeCell ref="A5:B5"/>
  </mergeCells>
  <printOptions horizont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421875" style="62" customWidth="1"/>
    <col min="2" max="2" width="21.7109375" style="63" customWidth="1"/>
    <col min="3" max="3" width="8.8515625" style="19" customWidth="1"/>
    <col min="4" max="4" width="9.7109375" style="62" customWidth="1"/>
    <col min="5" max="5" width="16.57421875" style="19" customWidth="1"/>
    <col min="6" max="6" width="10.421875" style="19" customWidth="1"/>
    <col min="7" max="7" width="12.421875" style="19" customWidth="1"/>
    <col min="8" max="8" width="9.57421875" style="19" customWidth="1"/>
    <col min="9" max="9" width="9.140625" style="19" customWidth="1"/>
    <col min="10" max="10" width="9.28125" style="19" customWidth="1"/>
    <col min="11" max="11" width="22.8515625" style="19" customWidth="1"/>
    <col min="12" max="12" width="12.28125" style="62" customWidth="1"/>
    <col min="13" max="13" width="9.7109375" style="62" customWidth="1"/>
    <col min="14" max="14" width="9.57421875" style="19" customWidth="1"/>
    <col min="15" max="15" width="27.57421875" style="19" customWidth="1"/>
    <col min="16" max="16" width="11.421875" style="19" customWidth="1"/>
    <col min="17" max="17" width="11.57421875" style="19" customWidth="1"/>
    <col min="18" max="18" width="9.00390625" style="19" customWidth="1"/>
    <col min="19" max="16384" width="9.140625" style="19" customWidth="1"/>
  </cols>
  <sheetData>
    <row r="3" spans="1:18" ht="12.75">
      <c r="A3" s="180" t="s">
        <v>155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s="20" customFormat="1" ht="12.75">
      <c r="A4" s="8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6" spans="1:18" ht="25.5" customHeight="1">
      <c r="A6" s="181" t="s">
        <v>68</v>
      </c>
      <c r="B6" s="186" t="s">
        <v>6</v>
      </c>
      <c r="C6" s="189" t="s">
        <v>66</v>
      </c>
      <c r="D6" s="190"/>
      <c r="E6" s="182" t="s">
        <v>7</v>
      </c>
      <c r="F6" s="183"/>
      <c r="G6" s="183"/>
      <c r="H6" s="183"/>
      <c r="I6" s="183"/>
      <c r="J6" s="184"/>
      <c r="K6" s="188" t="s">
        <v>8</v>
      </c>
      <c r="L6" s="189"/>
      <c r="M6" s="189"/>
      <c r="N6" s="190"/>
      <c r="O6" s="188" t="s">
        <v>9</v>
      </c>
      <c r="P6" s="189"/>
      <c r="Q6" s="189"/>
      <c r="R6" s="190"/>
    </row>
    <row r="7" spans="1:18" s="25" customFormat="1" ht="66">
      <c r="A7" s="181"/>
      <c r="B7" s="187"/>
      <c r="C7" s="70" t="s">
        <v>5</v>
      </c>
      <c r="D7" s="22" t="s">
        <v>10</v>
      </c>
      <c r="E7" s="23" t="s">
        <v>56</v>
      </c>
      <c r="F7" s="21" t="s">
        <v>11</v>
      </c>
      <c r="G7" s="21" t="s">
        <v>57</v>
      </c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4" t="s">
        <v>18</v>
      </c>
      <c r="O7" s="21" t="s">
        <v>19</v>
      </c>
      <c r="P7" s="21" t="s">
        <v>20</v>
      </c>
      <c r="Q7" s="21" t="s">
        <v>58</v>
      </c>
      <c r="R7" s="24" t="s">
        <v>21</v>
      </c>
    </row>
    <row r="8" spans="1:19" ht="15" customHeight="1">
      <c r="A8" s="82" t="s">
        <v>69</v>
      </c>
      <c r="B8" s="81" t="s">
        <v>65</v>
      </c>
      <c r="C8" s="26">
        <f>(10/1000000)*5000*(17/379)*60</f>
        <v>0.1345646437994723</v>
      </c>
      <c r="D8" s="27">
        <f>C8*8760/2000</f>
        <v>0.5893931398416887</v>
      </c>
      <c r="E8" s="28">
        <v>0</v>
      </c>
      <c r="F8" s="29">
        <v>0</v>
      </c>
      <c r="G8" s="29">
        <v>49.68</v>
      </c>
      <c r="H8" s="29">
        <v>0.53</v>
      </c>
      <c r="I8" s="29">
        <v>1</v>
      </c>
      <c r="J8" s="30">
        <f aca="true" t="shared" si="0" ref="J8:J13">D8*E8*F8*G8*H8*I8</f>
        <v>0</v>
      </c>
      <c r="K8" s="31" t="s">
        <v>22</v>
      </c>
      <c r="L8" s="28">
        <v>200</v>
      </c>
      <c r="M8" s="29">
        <v>1</v>
      </c>
      <c r="N8" s="28">
        <f aca="true" t="shared" si="1" ref="N8:N13">D8*G8*H8*M8/L8</f>
        <v>0.07759478564643801</v>
      </c>
      <c r="O8" s="31" t="s">
        <v>23</v>
      </c>
      <c r="P8" s="28">
        <v>3200</v>
      </c>
      <c r="Q8" s="29">
        <v>2000</v>
      </c>
      <c r="R8" s="32">
        <f aca="true" t="shared" si="2" ref="R8:R13">(C8*Q8/P8)</f>
        <v>0.08410290237467018</v>
      </c>
      <c r="S8" s="19" t="s">
        <v>0</v>
      </c>
    </row>
    <row r="9" spans="1:18" ht="15" customHeight="1">
      <c r="A9" s="82" t="s">
        <v>70</v>
      </c>
      <c r="B9" s="81" t="s">
        <v>65</v>
      </c>
      <c r="C9" s="26">
        <f>(10/1000000)*5333*(17/379)*60</f>
        <v>0.14352664907651716</v>
      </c>
      <c r="D9" s="27">
        <f>C9*8760/2000</f>
        <v>0.6286467229551451</v>
      </c>
      <c r="E9" s="28">
        <v>0</v>
      </c>
      <c r="F9" s="29">
        <v>0</v>
      </c>
      <c r="G9" s="29">
        <v>49.68</v>
      </c>
      <c r="H9" s="29">
        <v>0.53</v>
      </c>
      <c r="I9" s="29">
        <v>1</v>
      </c>
      <c r="J9" s="30">
        <f t="shared" si="0"/>
        <v>0</v>
      </c>
      <c r="K9" s="31" t="s">
        <v>22</v>
      </c>
      <c r="L9" s="28">
        <v>200</v>
      </c>
      <c r="M9" s="29">
        <v>1</v>
      </c>
      <c r="N9" s="28">
        <f t="shared" si="1"/>
        <v>0.08276259837049077</v>
      </c>
      <c r="O9" s="31" t="s">
        <v>23</v>
      </c>
      <c r="P9" s="28">
        <v>3200</v>
      </c>
      <c r="Q9" s="29">
        <v>2000</v>
      </c>
      <c r="R9" s="32">
        <f t="shared" si="2"/>
        <v>0.08970415567282324</v>
      </c>
    </row>
    <row r="10" spans="1:18" ht="15" customHeight="1">
      <c r="A10" s="82" t="s">
        <v>71</v>
      </c>
      <c r="B10" s="81" t="s">
        <v>65</v>
      </c>
      <c r="C10" s="26">
        <f>(10/1000000)*5500*(17/379)*60</f>
        <v>0.14802110817941955</v>
      </c>
      <c r="D10" s="27">
        <f>C10*8760/2000</f>
        <v>0.6483324538258577</v>
      </c>
      <c r="E10" s="28">
        <v>0</v>
      </c>
      <c r="F10" s="29">
        <v>0</v>
      </c>
      <c r="G10" s="29">
        <v>49.68</v>
      </c>
      <c r="H10" s="29">
        <v>0.53</v>
      </c>
      <c r="I10" s="29">
        <v>1</v>
      </c>
      <c r="J10" s="30">
        <f t="shared" si="0"/>
        <v>0</v>
      </c>
      <c r="K10" s="31" t="s">
        <v>22</v>
      </c>
      <c r="L10" s="28">
        <v>200</v>
      </c>
      <c r="M10" s="29">
        <v>1</v>
      </c>
      <c r="N10" s="28">
        <f t="shared" si="1"/>
        <v>0.0853542642110818</v>
      </c>
      <c r="O10" s="31" t="s">
        <v>23</v>
      </c>
      <c r="P10" s="28">
        <v>3200</v>
      </c>
      <c r="Q10" s="29">
        <v>2000</v>
      </c>
      <c r="R10" s="32">
        <f t="shared" si="2"/>
        <v>0.09251319261213721</v>
      </c>
    </row>
    <row r="11" spans="1:18" ht="15" customHeight="1">
      <c r="A11" s="82" t="s">
        <v>72</v>
      </c>
      <c r="B11" s="81" t="s">
        <v>65</v>
      </c>
      <c r="C11" s="26">
        <f>(10/1000000)*5417*(17/379)*60</f>
        <v>0.14578733509234829</v>
      </c>
      <c r="D11" s="27">
        <f>C11*8760/2000</f>
        <v>0.6385485277044856</v>
      </c>
      <c r="E11" s="28">
        <v>0</v>
      </c>
      <c r="F11" s="29">
        <v>0</v>
      </c>
      <c r="G11" s="29">
        <v>49.68</v>
      </c>
      <c r="H11" s="29">
        <v>0.53</v>
      </c>
      <c r="I11" s="29">
        <v>1</v>
      </c>
      <c r="J11" s="30">
        <f t="shared" si="0"/>
        <v>0</v>
      </c>
      <c r="K11" s="31" t="s">
        <v>22</v>
      </c>
      <c r="L11" s="28">
        <v>200</v>
      </c>
      <c r="M11" s="29">
        <v>1</v>
      </c>
      <c r="N11" s="28">
        <f t="shared" si="1"/>
        <v>0.08406619076935094</v>
      </c>
      <c r="O11" s="31" t="s">
        <v>23</v>
      </c>
      <c r="P11" s="28">
        <v>3200</v>
      </c>
      <c r="Q11" s="29">
        <v>2000</v>
      </c>
      <c r="R11" s="32">
        <f t="shared" si="2"/>
        <v>0.09111708443271768</v>
      </c>
    </row>
    <row r="12" spans="1:18" ht="15" customHeight="1">
      <c r="A12" s="82" t="s">
        <v>73</v>
      </c>
      <c r="B12" s="88" t="s">
        <v>65</v>
      </c>
      <c r="C12" s="83">
        <f>(10/1000000)*6667*(17/379)*60</f>
        <v>0.1794284960422164</v>
      </c>
      <c r="D12" s="84">
        <f>C12*8760/2000</f>
        <v>0.7858968126649077</v>
      </c>
      <c r="E12" s="30">
        <v>0</v>
      </c>
      <c r="F12" s="85">
        <v>0</v>
      </c>
      <c r="G12" s="85">
        <v>49.68</v>
      </c>
      <c r="H12" s="85">
        <v>0.53</v>
      </c>
      <c r="I12" s="85">
        <v>1</v>
      </c>
      <c r="J12" s="30">
        <f t="shared" si="0"/>
        <v>0</v>
      </c>
      <c r="K12" s="86" t="s">
        <v>22</v>
      </c>
      <c r="L12" s="30">
        <v>200</v>
      </c>
      <c r="M12" s="85">
        <v>1</v>
      </c>
      <c r="N12" s="30">
        <f t="shared" si="1"/>
        <v>0.10346488718096043</v>
      </c>
      <c r="O12" s="86" t="s">
        <v>23</v>
      </c>
      <c r="P12" s="30">
        <v>3200</v>
      </c>
      <c r="Q12" s="85">
        <v>2000</v>
      </c>
      <c r="R12" s="87">
        <f t="shared" si="2"/>
        <v>0.11214281002638524</v>
      </c>
    </row>
    <row r="13" spans="1:18" ht="15" customHeight="1" thickBot="1">
      <c r="A13" s="82" t="s">
        <v>74</v>
      </c>
      <c r="B13" s="88" t="s">
        <v>65</v>
      </c>
      <c r="C13" s="26">
        <v>0.221</v>
      </c>
      <c r="D13" s="27">
        <v>0.97</v>
      </c>
      <c r="E13" s="28">
        <v>0</v>
      </c>
      <c r="F13" s="85">
        <v>0</v>
      </c>
      <c r="G13" s="85">
        <v>49.68</v>
      </c>
      <c r="H13" s="85">
        <v>0.53</v>
      </c>
      <c r="I13" s="85">
        <v>1</v>
      </c>
      <c r="J13" s="30">
        <f t="shared" si="0"/>
        <v>0</v>
      </c>
      <c r="K13" s="86" t="s">
        <v>22</v>
      </c>
      <c r="L13" s="30">
        <v>200</v>
      </c>
      <c r="M13" s="85">
        <v>1</v>
      </c>
      <c r="N13" s="30">
        <f t="shared" si="1"/>
        <v>0.12770244</v>
      </c>
      <c r="O13" s="86" t="s">
        <v>23</v>
      </c>
      <c r="P13" s="30">
        <v>3200</v>
      </c>
      <c r="Q13" s="85">
        <v>2000</v>
      </c>
      <c r="R13" s="87">
        <f t="shared" si="2"/>
        <v>0.138125</v>
      </c>
    </row>
    <row r="14" spans="2:18" ht="15" customHeight="1">
      <c r="B14" s="33"/>
      <c r="C14" s="126"/>
      <c r="D14" s="35"/>
      <c r="E14" s="36"/>
      <c r="F14" s="37"/>
      <c r="G14" s="38"/>
      <c r="H14" s="38"/>
      <c r="I14" s="38"/>
      <c r="J14" s="39"/>
      <c r="K14" s="40"/>
      <c r="L14" s="38"/>
      <c r="M14" s="38"/>
      <c r="N14" s="41"/>
      <c r="O14" s="42"/>
      <c r="P14" s="39"/>
      <c r="Q14" s="38"/>
      <c r="R14" s="43"/>
    </row>
    <row r="15" spans="2:24" ht="15" customHeight="1">
      <c r="B15" s="33"/>
      <c r="C15" s="126"/>
      <c r="D15" s="35"/>
      <c r="E15" s="44"/>
      <c r="F15" s="45"/>
      <c r="G15" s="185" t="s">
        <v>24</v>
      </c>
      <c r="H15" s="185"/>
      <c r="I15" s="44"/>
      <c r="J15" s="47">
        <f>SUM(J8:J13)</f>
        <v>0</v>
      </c>
      <c r="K15" s="48" t="s">
        <v>25</v>
      </c>
      <c r="L15" s="46"/>
      <c r="M15" s="49" t="s">
        <v>26</v>
      </c>
      <c r="N15" s="50">
        <v>0</v>
      </c>
      <c r="O15" s="51"/>
      <c r="P15" s="52" t="s">
        <v>27</v>
      </c>
      <c r="Q15" s="49" t="s">
        <v>26</v>
      </c>
      <c r="R15" s="53">
        <v>0</v>
      </c>
      <c r="S15" s="44"/>
      <c r="T15" s="44"/>
      <c r="U15" s="44"/>
      <c r="V15" s="44"/>
      <c r="W15" s="44"/>
      <c r="X15" s="44"/>
    </row>
    <row r="16" spans="2:24" ht="15" customHeight="1">
      <c r="B16" s="33"/>
      <c r="C16" s="34"/>
      <c r="D16" s="35"/>
      <c r="E16" s="44"/>
      <c r="F16" s="45"/>
      <c r="G16" s="44"/>
      <c r="H16" s="44"/>
      <c r="I16" s="54"/>
      <c r="J16" s="44"/>
      <c r="K16" s="55" t="s">
        <v>28</v>
      </c>
      <c r="L16" s="46"/>
      <c r="M16" s="49" t="s">
        <v>29</v>
      </c>
      <c r="N16" s="56">
        <v>0</v>
      </c>
      <c r="O16" s="45"/>
      <c r="P16" s="46" t="s">
        <v>28</v>
      </c>
      <c r="Q16" s="49" t="s">
        <v>29</v>
      </c>
      <c r="R16" s="53">
        <v>0</v>
      </c>
      <c r="S16" s="44"/>
      <c r="T16" s="44"/>
      <c r="U16" s="44"/>
      <c r="V16" s="44"/>
      <c r="W16" s="44"/>
      <c r="X16" s="44"/>
    </row>
    <row r="17" spans="2:24" ht="15" customHeight="1">
      <c r="B17" s="33"/>
      <c r="C17" s="34"/>
      <c r="D17" s="35"/>
      <c r="E17" s="44"/>
      <c r="F17" s="45"/>
      <c r="G17" s="44"/>
      <c r="H17" s="44"/>
      <c r="I17" s="44"/>
      <c r="J17" s="44"/>
      <c r="K17" s="55"/>
      <c r="L17" s="46"/>
      <c r="M17" s="49" t="s">
        <v>30</v>
      </c>
      <c r="N17" s="50">
        <v>0</v>
      </c>
      <c r="O17" s="45"/>
      <c r="P17" s="44"/>
      <c r="Q17" s="49" t="s">
        <v>30</v>
      </c>
      <c r="R17" s="53">
        <v>0</v>
      </c>
      <c r="S17" s="44"/>
      <c r="T17" s="44"/>
      <c r="U17" s="44"/>
      <c r="V17" s="44"/>
      <c r="W17" s="44"/>
      <c r="X17" s="44"/>
    </row>
    <row r="18" spans="2:24" ht="15" customHeight="1">
      <c r="B18" s="33"/>
      <c r="C18" s="34"/>
      <c r="D18" s="35"/>
      <c r="E18" s="44"/>
      <c r="F18" s="45"/>
      <c r="G18" s="44" t="s">
        <v>31</v>
      </c>
      <c r="H18" s="44"/>
      <c r="I18" s="44"/>
      <c r="J18" s="44"/>
      <c r="K18" s="55"/>
      <c r="L18" s="46"/>
      <c r="M18" s="49" t="s">
        <v>32</v>
      </c>
      <c r="N18" s="50">
        <v>0</v>
      </c>
      <c r="O18" s="45"/>
      <c r="P18" s="44"/>
      <c r="Q18" s="49" t="s">
        <v>32</v>
      </c>
      <c r="R18" s="53">
        <v>0</v>
      </c>
      <c r="S18" s="44"/>
      <c r="T18" s="44"/>
      <c r="U18" s="44"/>
      <c r="V18" s="44"/>
      <c r="W18" s="44"/>
      <c r="X18" s="44"/>
    </row>
    <row r="19" spans="2:24" ht="15" customHeight="1">
      <c r="B19" s="33"/>
      <c r="C19" s="34"/>
      <c r="D19" s="35"/>
      <c r="E19" s="44"/>
      <c r="F19" s="45"/>
      <c r="G19" s="44" t="s">
        <v>33</v>
      </c>
      <c r="H19" s="44"/>
      <c r="I19" s="44"/>
      <c r="J19" s="44"/>
      <c r="K19" s="45" t="s">
        <v>34</v>
      </c>
      <c r="L19" s="46"/>
      <c r="M19" s="49" t="s">
        <v>35</v>
      </c>
      <c r="N19" s="50">
        <v>0</v>
      </c>
      <c r="O19" s="45" t="s">
        <v>36</v>
      </c>
      <c r="P19" s="44"/>
      <c r="Q19" s="49" t="s">
        <v>35</v>
      </c>
      <c r="R19" s="53">
        <v>0</v>
      </c>
      <c r="S19" s="44"/>
      <c r="T19" s="44"/>
      <c r="U19" s="44"/>
      <c r="V19" s="44"/>
      <c r="W19" s="44"/>
      <c r="X19" s="44"/>
    </row>
    <row r="20" spans="2:24" ht="15" customHeight="1" thickBot="1">
      <c r="B20" s="33"/>
      <c r="C20" s="34"/>
      <c r="D20" s="35"/>
      <c r="E20" s="44"/>
      <c r="F20" s="57"/>
      <c r="G20" s="58"/>
      <c r="H20" s="58"/>
      <c r="I20" s="58"/>
      <c r="J20" s="58"/>
      <c r="K20" s="55"/>
      <c r="L20" s="46"/>
      <c r="M20" s="49" t="s">
        <v>37</v>
      </c>
      <c r="N20" s="50">
        <f>SUM(N8:N13)</f>
        <v>0.5609451661783219</v>
      </c>
      <c r="O20" s="45"/>
      <c r="P20" s="44"/>
      <c r="Q20" s="49" t="s">
        <v>37</v>
      </c>
      <c r="R20" s="53">
        <f>SUM(R8:R13)</f>
        <v>0.6077051451187336</v>
      </c>
      <c r="S20" s="44"/>
      <c r="T20" s="44"/>
      <c r="U20" s="44"/>
      <c r="V20" s="44"/>
      <c r="W20" s="44"/>
      <c r="X20" s="44"/>
    </row>
    <row r="21" spans="2:24" ht="15" customHeight="1">
      <c r="B21" s="33"/>
      <c r="C21" s="34"/>
      <c r="D21" s="35"/>
      <c r="E21" s="44"/>
      <c r="F21" s="44"/>
      <c r="G21" s="44"/>
      <c r="H21" s="44"/>
      <c r="I21" s="44"/>
      <c r="J21" s="44"/>
      <c r="K21" s="45"/>
      <c r="L21" s="46"/>
      <c r="M21" s="49" t="s">
        <v>38</v>
      </c>
      <c r="N21" s="50">
        <v>0</v>
      </c>
      <c r="O21" s="45"/>
      <c r="P21" s="44"/>
      <c r="Q21" s="49" t="s">
        <v>38</v>
      </c>
      <c r="R21" s="53">
        <v>0</v>
      </c>
      <c r="S21" s="44"/>
      <c r="T21" s="44"/>
      <c r="U21" s="44"/>
      <c r="V21" s="44"/>
      <c r="W21" s="44"/>
      <c r="X21" s="44"/>
    </row>
    <row r="22" spans="2:24" ht="15" customHeight="1">
      <c r="B22" s="33"/>
      <c r="C22" s="34"/>
      <c r="D22" s="35"/>
      <c r="E22" s="44"/>
      <c r="F22" s="44"/>
      <c r="G22" s="44"/>
      <c r="H22" s="44"/>
      <c r="I22" s="44"/>
      <c r="J22" s="44"/>
      <c r="K22" s="45"/>
      <c r="L22" s="46"/>
      <c r="M22" s="49" t="s">
        <v>39</v>
      </c>
      <c r="N22" s="50">
        <v>0</v>
      </c>
      <c r="O22" s="45"/>
      <c r="P22" s="44"/>
      <c r="Q22" s="49" t="s">
        <v>39</v>
      </c>
      <c r="R22" s="53">
        <v>0</v>
      </c>
      <c r="S22" s="44"/>
      <c r="T22" s="44"/>
      <c r="U22" s="44"/>
      <c r="V22" s="44"/>
      <c r="W22" s="44"/>
      <c r="X22" s="44"/>
    </row>
    <row r="23" spans="2:24" ht="15" customHeight="1">
      <c r="B23" s="33"/>
      <c r="C23" s="34"/>
      <c r="D23" s="35"/>
      <c r="E23" s="44"/>
      <c r="F23" s="44"/>
      <c r="G23" s="44"/>
      <c r="H23" s="44"/>
      <c r="I23" s="44"/>
      <c r="J23" s="44"/>
      <c r="K23" s="45"/>
      <c r="L23" s="46"/>
      <c r="M23" s="44" t="s">
        <v>40</v>
      </c>
      <c r="N23" s="50">
        <v>0</v>
      </c>
      <c r="O23" s="45"/>
      <c r="P23" s="44"/>
      <c r="Q23" s="44" t="s">
        <v>40</v>
      </c>
      <c r="R23" s="53">
        <v>0</v>
      </c>
      <c r="S23" s="44"/>
      <c r="T23" s="44"/>
      <c r="U23" s="44"/>
      <c r="V23" s="44"/>
      <c r="W23" s="44"/>
      <c r="X23" s="44"/>
    </row>
    <row r="24" spans="2:24" ht="15" customHeight="1" thickBot="1">
      <c r="B24" s="33"/>
      <c r="C24" s="34"/>
      <c r="D24" s="35"/>
      <c r="E24" s="44"/>
      <c r="F24" s="44"/>
      <c r="G24" s="44"/>
      <c r="H24" s="44"/>
      <c r="I24" s="44"/>
      <c r="J24" s="44"/>
      <c r="K24" s="57"/>
      <c r="L24" s="59"/>
      <c r="M24" s="58" t="s">
        <v>41</v>
      </c>
      <c r="N24" s="60">
        <v>0</v>
      </c>
      <c r="O24" s="57"/>
      <c r="P24" s="58"/>
      <c r="Q24" s="58" t="s">
        <v>41</v>
      </c>
      <c r="R24" s="61">
        <f>SUM(R8:R13)</f>
        <v>0.6077051451187336</v>
      </c>
      <c r="S24" s="44"/>
      <c r="T24" s="44"/>
      <c r="U24" s="44"/>
      <c r="V24" s="44"/>
      <c r="W24" s="44"/>
      <c r="X24" s="44"/>
    </row>
    <row r="25" spans="2:24" ht="15" customHeight="1">
      <c r="B25" s="33"/>
      <c r="C25" s="34"/>
      <c r="D25" s="35"/>
      <c r="E25" s="44"/>
      <c r="F25" s="44"/>
      <c r="G25" s="44"/>
      <c r="H25" s="44"/>
      <c r="I25" s="44"/>
      <c r="J25" s="44"/>
      <c r="K25" s="44"/>
      <c r="L25" s="46"/>
      <c r="M25" s="46"/>
      <c r="N25" s="46"/>
      <c r="O25" s="44"/>
      <c r="P25" s="44"/>
      <c r="Q25" s="46"/>
      <c r="R25" s="44"/>
      <c r="S25" s="44"/>
      <c r="T25" s="44"/>
      <c r="U25" s="44"/>
      <c r="V25" s="44"/>
      <c r="W25" s="44"/>
      <c r="X25" s="44"/>
    </row>
    <row r="26" spans="2:24" ht="12.75">
      <c r="B26" s="33"/>
      <c r="D26" s="62" t="s">
        <v>42</v>
      </c>
      <c r="E26" s="44"/>
      <c r="F26" s="44"/>
      <c r="G26" s="44"/>
      <c r="H26" s="44"/>
      <c r="I26" s="44"/>
      <c r="J26" s="44"/>
      <c r="K26" s="44"/>
      <c r="L26" s="46"/>
      <c r="M26" s="46"/>
      <c r="N26" s="46"/>
      <c r="O26" s="44"/>
      <c r="P26" s="44"/>
      <c r="Q26" s="46"/>
      <c r="R26" s="44"/>
      <c r="S26" s="44"/>
      <c r="T26" s="44"/>
      <c r="U26" s="44"/>
      <c r="V26" s="44"/>
      <c r="W26" s="44"/>
      <c r="X26" s="44"/>
    </row>
    <row r="27" spans="2:24" ht="12.75">
      <c r="B27" s="33"/>
      <c r="D27" s="62">
        <v>1</v>
      </c>
      <c r="E27" s="44" t="s">
        <v>43</v>
      </c>
      <c r="F27" s="44"/>
      <c r="G27" s="44"/>
      <c r="H27" s="44"/>
      <c r="I27" s="44"/>
      <c r="J27" s="44"/>
      <c r="K27" s="44"/>
      <c r="L27" s="46"/>
      <c r="M27" s="46"/>
      <c r="N27" s="46"/>
      <c r="O27" s="44"/>
      <c r="P27" s="44"/>
      <c r="Q27" s="46"/>
      <c r="R27" s="44"/>
      <c r="S27" s="44"/>
      <c r="T27" s="44"/>
      <c r="U27" s="44"/>
      <c r="V27" s="44"/>
      <c r="W27" s="44"/>
      <c r="X27" s="44"/>
    </row>
    <row r="28" spans="2:24" ht="12.75">
      <c r="B28" s="33"/>
      <c r="E28" s="44"/>
      <c r="F28" s="44"/>
      <c r="G28" s="44"/>
      <c r="H28" s="44"/>
      <c r="I28" s="44"/>
      <c r="J28" s="44"/>
      <c r="K28" s="44"/>
      <c r="L28" s="46"/>
      <c r="M28" s="46"/>
      <c r="N28" s="46"/>
      <c r="O28" s="44"/>
      <c r="P28" s="44"/>
      <c r="Q28" s="46"/>
      <c r="R28" s="44"/>
      <c r="S28" s="44"/>
      <c r="T28" s="44"/>
      <c r="U28" s="44"/>
      <c r="V28" s="44"/>
      <c r="W28" s="44"/>
      <c r="X28" s="44"/>
    </row>
    <row r="29" spans="3:24" ht="12.75">
      <c r="C29" s="52"/>
      <c r="D29" s="33">
        <v>2</v>
      </c>
      <c r="E29" s="64" t="s">
        <v>59</v>
      </c>
      <c r="F29" s="64"/>
      <c r="G29" s="52"/>
      <c r="K29" s="44"/>
      <c r="L29" s="46"/>
      <c r="M29" s="44"/>
      <c r="N29" s="44"/>
      <c r="O29" s="44"/>
      <c r="P29" s="44"/>
      <c r="Q29" s="46" t="s">
        <v>0</v>
      </c>
      <c r="R29" s="44" t="s">
        <v>0</v>
      </c>
      <c r="S29" s="44"/>
      <c r="T29" s="44"/>
      <c r="U29" s="44"/>
      <c r="V29" s="44"/>
      <c r="W29" s="44"/>
      <c r="X29" s="44"/>
    </row>
    <row r="30" spans="5:24" ht="12.75">
      <c r="E30" s="19" t="s">
        <v>67</v>
      </c>
      <c r="K30" s="44"/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ht="12.75">
      <c r="B31" s="62"/>
    </row>
    <row r="32" spans="2:11" ht="12.75">
      <c r="B32" s="62"/>
      <c r="D32" s="63">
        <v>3</v>
      </c>
      <c r="E32" s="65" t="s">
        <v>26</v>
      </c>
      <c r="F32" s="19" t="s">
        <v>44</v>
      </c>
      <c r="K32" s="49"/>
    </row>
    <row r="33" spans="2:11" ht="12.75">
      <c r="B33" s="62"/>
      <c r="E33" s="65" t="s">
        <v>29</v>
      </c>
      <c r="F33" s="19" t="s">
        <v>45</v>
      </c>
      <c r="K33" s="49"/>
    </row>
    <row r="34" spans="2:11" ht="12.75">
      <c r="B34" s="62"/>
      <c r="E34" s="65" t="s">
        <v>30</v>
      </c>
      <c r="F34" s="19" t="s">
        <v>46</v>
      </c>
      <c r="K34" s="49"/>
    </row>
    <row r="35" spans="2:11" ht="12.75">
      <c r="B35" s="62"/>
      <c r="E35" s="65" t="s">
        <v>32</v>
      </c>
      <c r="F35" s="19" t="s">
        <v>47</v>
      </c>
      <c r="K35" s="49"/>
    </row>
    <row r="36" spans="5:11" ht="12.75">
      <c r="E36" s="65" t="s">
        <v>35</v>
      </c>
      <c r="F36" s="19" t="s">
        <v>48</v>
      </c>
      <c r="K36" s="49"/>
    </row>
    <row r="37" spans="5:11" ht="12.75">
      <c r="E37" s="65" t="s">
        <v>37</v>
      </c>
      <c r="F37" s="19" t="s">
        <v>49</v>
      </c>
      <c r="K37" s="49"/>
    </row>
    <row r="38" spans="5:11" ht="12.75">
      <c r="E38" s="65" t="s">
        <v>38</v>
      </c>
      <c r="F38" s="19" t="s">
        <v>50</v>
      </c>
      <c r="K38" s="49"/>
    </row>
    <row r="39" spans="5:11" ht="12.75">
      <c r="E39" s="65" t="s">
        <v>39</v>
      </c>
      <c r="F39" s="19" t="s">
        <v>51</v>
      </c>
      <c r="K39" s="49"/>
    </row>
    <row r="40" spans="5:11" ht="12.75">
      <c r="E40" s="19" t="s">
        <v>52</v>
      </c>
      <c r="F40" s="19" t="s">
        <v>53</v>
      </c>
      <c r="K40" s="44"/>
    </row>
    <row r="41" spans="5:11" ht="12.75">
      <c r="E41" s="19" t="s">
        <v>54</v>
      </c>
      <c r="F41" s="19" t="s">
        <v>55</v>
      </c>
      <c r="K41" s="44"/>
    </row>
    <row r="42" ht="12.75">
      <c r="K42" s="44"/>
    </row>
    <row r="53" ht="12.75">
      <c r="B53" s="62"/>
    </row>
    <row r="54" ht="12.75">
      <c r="B54" s="62"/>
    </row>
    <row r="55" ht="12.75">
      <c r="B55" s="62"/>
    </row>
    <row r="56" ht="12.75">
      <c r="B56" s="62"/>
    </row>
    <row r="57" ht="12.75">
      <c r="B57" s="62"/>
    </row>
    <row r="58" ht="12.75">
      <c r="B58" s="62"/>
    </row>
    <row r="59" ht="12.75">
      <c r="B59" s="62"/>
    </row>
    <row r="60" ht="12.75">
      <c r="B60" s="62"/>
    </row>
    <row r="61" ht="12.75">
      <c r="B61" s="62"/>
    </row>
    <row r="62" ht="12.75">
      <c r="B62" s="62"/>
    </row>
    <row r="63" ht="12.75">
      <c r="B63" s="62"/>
    </row>
    <row r="64" ht="12.75">
      <c r="B64" s="62"/>
    </row>
    <row r="65" ht="12.75">
      <c r="B65" s="62"/>
    </row>
    <row r="66" ht="12.75">
      <c r="B66" s="62"/>
    </row>
    <row r="67" ht="12.75">
      <c r="B67" s="62"/>
    </row>
    <row r="68" ht="12.75">
      <c r="B68" s="62"/>
    </row>
    <row r="69" ht="12.75">
      <c r="B69" s="62"/>
    </row>
    <row r="70" ht="12.75">
      <c r="B70" s="62"/>
    </row>
    <row r="71" ht="12.75">
      <c r="B71" s="62"/>
    </row>
    <row r="72" ht="12.75">
      <c r="B72" s="62"/>
    </row>
    <row r="73" ht="12.75">
      <c r="B73" s="62"/>
    </row>
    <row r="74" ht="12.75">
      <c r="B74" s="62"/>
    </row>
    <row r="75" ht="12.75">
      <c r="B75" s="62"/>
    </row>
  </sheetData>
  <mergeCells count="8">
    <mergeCell ref="A3:R3"/>
    <mergeCell ref="A6:A7"/>
    <mergeCell ref="E6:J6"/>
    <mergeCell ref="G15:H15"/>
    <mergeCell ref="B6:B7"/>
    <mergeCell ref="O6:R6"/>
    <mergeCell ref="K6:N6"/>
    <mergeCell ref="C6:D6"/>
  </mergeCells>
  <printOptions horizontalCentered="1"/>
  <pageMargins left="0.05" right="0" top="0.35" bottom="0.55" header="0.5" footer="0.25"/>
  <pageSetup firstPageNumber="15" useFirstPageNumber="1"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s.c.a.q.m.d.</dc:creator>
  <cp:keywords/>
  <dc:description/>
  <cp:lastModifiedBy>Kathy Stevens</cp:lastModifiedBy>
  <cp:lastPrinted>2003-03-12T22:01:37Z</cp:lastPrinted>
  <dcterms:created xsi:type="dcterms:W3CDTF">1999-10-24T16:00:16Z</dcterms:created>
  <dcterms:modified xsi:type="dcterms:W3CDTF">2003-03-12T22:32:38Z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907640744</vt:i4>
  </property>
  <property fmtid="{D5CDD505-2E9C-101B-9397-08002B2CF9AE}" pid="3" name="_EmailSubject">
    <vt:lpwstr>NOI for Pebbly Bch</vt:lpwstr>
  </property>
  <property fmtid="{D5CDD505-2E9C-101B-9397-08002B2CF9AE}" pid="4" name="_AuthorEmail">
    <vt:lpwstr>KStevens@aqmd.gov</vt:lpwstr>
  </property>
  <property fmtid="{D5CDD505-2E9C-101B-9397-08002B2CF9AE}" pid="5" name="_AuthorEmailDisplayName">
    <vt:lpwstr>Kathy Stevens</vt:lpwstr>
  </property>
  <property fmtid="{D5CDD505-2E9C-101B-9397-08002B2CF9AE}" pid="6" name="_PreviousAdHocReviewCycleID">
    <vt:i4>-2031645566</vt:i4>
  </property>
</Properties>
</file>