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2120" windowHeight="8712" tabRatio="800" firstSheet="23" activeTab="28"/>
  </bookViews>
  <sheets>
    <sheet name="CE Emission Factor Calcs" sheetId="1" r:id="rId1"/>
    <sheet name="ConstEquip-Dec.2004" sheetId="2" r:id="rId2"/>
    <sheet name="ConstEquip-Jan.2005" sheetId="3" r:id="rId3"/>
    <sheet name="ConstEquip-Sept.2005" sheetId="4" r:id="rId4"/>
    <sheet name="ConstEquip-Demolition" sheetId="5" r:id="rId5"/>
    <sheet name="ConstTripEmiss 12-04" sheetId="6" r:id="rId6"/>
    <sheet name="ConstTripEmiss 1-05" sheetId="7" r:id="rId7"/>
    <sheet name="ConstTripEmiss 9-05" sheetId="8" r:id="rId8"/>
    <sheet name="ConstTripEmiss-Demolition" sheetId="9" r:id="rId9"/>
    <sheet name="FugitiveConstEF 12-04" sheetId="10" r:id="rId10"/>
    <sheet name="FugitiveConstEF 01-05" sheetId="11" r:id="rId11"/>
    <sheet name="FugitiveConstEF 09-05" sheetId="12" r:id="rId12"/>
    <sheet name="FugitiveEmiss 12-04" sheetId="13" r:id="rId13"/>
    <sheet name="FugitiveEmiss 01-05" sheetId="14" r:id="rId14"/>
    <sheet name="FugitiveEmiss 09-05" sheetId="15" r:id="rId15"/>
    <sheet name="FugitiveEmiss - Demolition" sheetId="16" r:id="rId16"/>
    <sheet name="Fugitive Paint" sheetId="17" r:id="rId17"/>
    <sheet name="Construction Summary" sheetId="18" r:id="rId18"/>
    <sheet name="Mitigated Construction Emission" sheetId="19" r:id="rId19"/>
    <sheet name="Comparison of EIRs" sheetId="20" r:id="rId20"/>
    <sheet name="Refinery Fugitive Emissions" sheetId="21" r:id="rId21"/>
    <sheet name="Road Dust Op." sheetId="22" r:id="rId22"/>
    <sheet name="Truck Emissions" sheetId="23" r:id="rId23"/>
    <sheet name="Boiler 68" sheetId="24" r:id="rId24"/>
    <sheet name="Hot Oil Heater" sheetId="25" r:id="rId25"/>
    <sheet name="New Flare" sheetId="26" r:id="rId26"/>
    <sheet name="56-H-2" sheetId="27" r:id="rId27"/>
    <sheet name="Conversion" sheetId="28" r:id="rId28"/>
    <sheet name="Operational Summary" sheetId="29" r:id="rId29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postprojectefrtanks">'[2]Post Project Tanks - EFR'!$A$1:$BS$28</definedName>
    <definedName name="postprojectfixedtanks">'[2]Post Project Tanks - Fixed'!$A$1:$BS$11</definedName>
    <definedName name="_xlnm.Print_Area" localSheetId="6">'ConstTripEmiss 1-05'!$A$1:$M$29</definedName>
    <definedName name="_xlnm.Print_Area" localSheetId="5">'ConstTripEmiss 12-04'!$A$1:$M$29</definedName>
    <definedName name="_xlnm.Print_Area" localSheetId="7">'ConstTripEmiss 9-05'!$A$1:$M$29</definedName>
    <definedName name="_xlnm.Print_Area" localSheetId="8">'ConstTripEmiss-Demolition'!$A$1:$M$29</definedName>
    <definedName name="_xlnm.Print_Area" localSheetId="22">'Truck Emissions'!$A$1:$M$29</definedName>
    <definedName name="projecttankemissions" localSheetId="26">#REF!</definedName>
    <definedName name="projecttankemissions" localSheetId="23">#REF!</definedName>
    <definedName name="projecttankemissions" localSheetId="27">#REF!</definedName>
    <definedName name="projecttankemissions" localSheetId="16">#REF!</definedName>
    <definedName name="projecttankemissions" localSheetId="24">#REF!</definedName>
    <definedName name="projecttankemissions" localSheetId="25">#REF!</definedName>
    <definedName name="projecttankemissions" localSheetId="21">#REF!</definedName>
    <definedName name="projecttankemissions" localSheetId="22">#REF!</definedName>
    <definedName name="projecttankemissions">#REF!</definedName>
    <definedName name="stackflow56h1" localSheetId="26">'[3]Combustion Source Test Data'!#REF!</definedName>
    <definedName name="stackflow56h1" localSheetId="23">'[3]Combustion Source Test Data'!#REF!</definedName>
    <definedName name="stackflow56h1" localSheetId="27">'[3]Combustion Source Test Data'!#REF!</definedName>
    <definedName name="stackflow56h1" localSheetId="16">'[3]Combustion Source Test Data'!#REF!</definedName>
    <definedName name="stackflow56h1" localSheetId="24">'[3]Combustion Source Test Data'!#REF!</definedName>
    <definedName name="stackflow56h1" localSheetId="25">'[3]Combustion Source Test Data'!#REF!</definedName>
    <definedName name="stackflow56h1" localSheetId="21">'[4]Combustion Source Test Data'!#REF!</definedName>
    <definedName name="stackflow56h1" localSheetId="22">'[4]Combustion Source Test Data'!#REF!</definedName>
    <definedName name="stackflow56h1">'[4]Combustion Source Test Data'!#REF!</definedName>
    <definedName name="Tank_Emissions_Data">'[5]Tank Summary'!$A$1:$Q$42</definedName>
    <definedName name="Tank_ID" localSheetId="26">#REF!</definedName>
    <definedName name="Tank_ID" localSheetId="23">#REF!</definedName>
    <definedName name="Tank_ID" localSheetId="27">#REF!</definedName>
    <definedName name="Tank_ID" localSheetId="16">#REF!</definedName>
    <definedName name="Tank_ID" localSheetId="24">#REF!</definedName>
    <definedName name="Tank_ID" localSheetId="25">#REF!</definedName>
    <definedName name="Tank_ID" localSheetId="21">#REF!</definedName>
    <definedName name="Tank_ID" localSheetId="22">#REF!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<sst xmlns="http://schemas.openxmlformats.org/spreadsheetml/2006/main" count="1507" uniqueCount="358">
  <si>
    <t>CO</t>
  </si>
  <si>
    <t>VOC</t>
  </si>
  <si>
    <t>NOx</t>
  </si>
  <si>
    <t>PM10</t>
  </si>
  <si>
    <t>Total</t>
  </si>
  <si>
    <t xml:space="preserve"> </t>
  </si>
  <si>
    <t>SOx</t>
  </si>
  <si>
    <t>Fugitive Construction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</si>
  <si>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</si>
  <si>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</si>
  <si>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</si>
  <si>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</si>
  <si>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</si>
  <si>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</si>
  <si>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</si>
  <si>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</si>
  <si>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</si>
  <si>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</si>
  <si>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</si>
  <si>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</si>
  <si>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</si>
  <si>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</si>
  <si>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</si>
  <si>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</si>
  <si>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</si>
  <si>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</si>
  <si>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</si>
  <si>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</si>
  <si>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</si>
  <si>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</si>
  <si>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</si>
  <si>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</si>
  <si>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</si>
  <si>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(Controlled Emissions)</t>
  </si>
  <si>
    <t>Construction</t>
  </si>
  <si>
    <t>(Uncontrolled Emissions)</t>
  </si>
  <si>
    <t xml:space="preserve"> Fugitive Dust Construction Emission Estimates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</si>
  <si>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</si>
  <si>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</si>
  <si>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</si>
  <si>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</si>
  <si>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</si>
  <si>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</si>
  <si>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</si>
  <si>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</si>
  <si>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</si>
  <si>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</si>
  <si>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</si>
  <si>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</si>
  <si>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</si>
  <si>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</si>
  <si>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</si>
  <si>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</si>
  <si>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</si>
  <si>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</si>
  <si>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</si>
  <si>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</si>
  <si>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</si>
  <si>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Source</t>
  </si>
  <si>
    <t xml:space="preserve">Construction Workers Commuting </t>
  </si>
  <si>
    <t xml:space="preserve">On-site Cars  </t>
  </si>
  <si>
    <t>Daily Delivery Trucks</t>
  </si>
  <si>
    <t>Total Emissions for Light Duty Trucks</t>
  </si>
  <si>
    <t>Total Emissions for Heavy Diesel Trucks</t>
  </si>
  <si>
    <t>Construction Equipment</t>
  </si>
  <si>
    <t>Equipment Type</t>
  </si>
  <si>
    <t xml:space="preserve">Hours </t>
  </si>
  <si>
    <t>Emission Factors lb/hr</t>
  </si>
  <si>
    <t>Daily Emissions (lbs/day)</t>
  </si>
  <si>
    <t>Per Day</t>
  </si>
  <si>
    <t>Air Compressor 130 CFM</t>
  </si>
  <si>
    <t>Backhoe</t>
  </si>
  <si>
    <t>Dozer</t>
  </si>
  <si>
    <t>--</t>
  </si>
  <si>
    <t>Plate Compactor (Gasoline)</t>
  </si>
  <si>
    <t>Cranes</t>
  </si>
  <si>
    <t>Front End Loader</t>
  </si>
  <si>
    <t>Manlifts (Boom and Scissor)</t>
  </si>
  <si>
    <t>Motor Grader</t>
  </si>
  <si>
    <t>Paver</t>
  </si>
  <si>
    <t>Pile Driver</t>
  </si>
  <si>
    <t>Trench Machine</t>
  </si>
  <si>
    <t>Generators (Gasoline)</t>
  </si>
  <si>
    <t>Weld Machine</t>
  </si>
  <si>
    <t>Demolition Hammer</t>
  </si>
  <si>
    <t>Track Boring Mach.</t>
  </si>
  <si>
    <t>Total Emission Totals</t>
  </si>
  <si>
    <t>* Emissions factors from SCAQMD CEQA Air Quality Handbook, Table 9-8-A.</t>
  </si>
  <si>
    <t xml:space="preserve">* Emissions factors from SCAQMD CEQA Air Quality Handbook, Table 9-8-C.  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</si>
  <si>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</si>
  <si>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r>
      <t xml:space="preserve">* Trucks Emissions factors from SCAQMD CEQA Air Quality Handbook Table 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</si>
  <si>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9-8-A, </t>
    </r>
    <r>
      <rPr>
        <i/>
        <sz val="8"/>
        <rFont val="Arial"/>
        <family val="2"/>
      </rPr>
      <t>Emissions for equipment not specifically listed can be found under miscellaneous.</t>
    </r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</si>
  <si>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</si>
  <si>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</si>
  <si>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</si>
  <si>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</si>
  <si>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</si>
  <si>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</si>
  <si>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</si>
  <si>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</si>
  <si>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</si>
  <si>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</si>
  <si>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</si>
  <si>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</si>
  <si>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r>
      <t>(1)  Emissions (lbs/hr) = [0.45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2.2046 x J; where G = silt content (7.5%), H = moisture content (2.0%) and J = hrs of operation.</t>
    </r>
  </si>
  <si>
    <t>Peak PM10 Emissions (lbs/day)</t>
  </si>
  <si>
    <t xml:space="preserve"> PM10 Emission Factor (lb/hour)</t>
  </si>
  <si>
    <t>Average   PM10 Emissions (lbs/day)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</si>
  <si>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</si>
  <si>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</si>
  <si>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</si>
  <si>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</si>
  <si>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</si>
  <si>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</si>
  <si>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</si>
  <si>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</si>
  <si>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</si>
  <si>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Construction Period</t>
  </si>
  <si>
    <t>Vehicle Emissions</t>
  </si>
  <si>
    <t>CONSTRUCTION SUMMARY</t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</si>
  <si>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(100,000 lbs); and J=2,000 lbs/ton</t>
    </r>
  </si>
  <si>
    <t>Fugitive Road Dust</t>
  </si>
  <si>
    <t>SCAQMD Thresholds</t>
  </si>
  <si>
    <t>Significant</t>
  </si>
  <si>
    <t>No</t>
  </si>
  <si>
    <t>Boom Trucks</t>
  </si>
  <si>
    <t>Refueling Trucks</t>
  </si>
  <si>
    <t>Dump Trucks</t>
  </si>
  <si>
    <r>
      <t>Hp</t>
    </r>
    <r>
      <rPr>
        <b/>
        <vertAlign val="superscript"/>
        <sz val="10"/>
        <rFont val="Arial"/>
        <family val="2"/>
      </rPr>
      <t>(1)</t>
    </r>
  </si>
  <si>
    <r>
      <t>Load</t>
    </r>
    <r>
      <rPr>
        <b/>
        <vertAlign val="superscript"/>
        <sz val="10"/>
        <rFont val="Arial"/>
        <family val="2"/>
      </rPr>
      <t>(2)</t>
    </r>
  </si>
  <si>
    <r>
      <t>Emission Factors lb/hp-hr</t>
    </r>
    <r>
      <rPr>
        <b/>
        <vertAlign val="superscript"/>
        <sz val="10"/>
        <rFont val="Arial"/>
        <family val="2"/>
      </rPr>
      <t>(3)</t>
    </r>
  </si>
  <si>
    <t>(3) Emission factors from SCAQMD CEQA Air Quality Handbook, Table 9-8-B, unless otherwise noted.</t>
  </si>
  <si>
    <t>(2) Default load factors from SCAQMD CEQA Air Quality Handbook, Table 9-8-D.</t>
  </si>
  <si>
    <t>(1) Default Horsepower from SCAQMD CEQA Air Quality Handbook, Table 9-8-C.</t>
  </si>
  <si>
    <t>(4) Emissions factors from SCAQMD CEQA Air Quality Handbook, Table 9-8-A.  Units are in lbs/hr.</t>
  </si>
  <si>
    <r>
      <t>Motor Grader</t>
    </r>
    <r>
      <rPr>
        <vertAlign val="superscript"/>
        <sz val="10"/>
        <rFont val="Arial"/>
        <family val="2"/>
      </rPr>
      <t>(4)</t>
    </r>
  </si>
  <si>
    <r>
      <t>Pile Driver</t>
    </r>
    <r>
      <rPr>
        <vertAlign val="superscript"/>
        <sz val="10"/>
        <rFont val="Arial"/>
        <family val="2"/>
      </rPr>
      <t>(4 - misc)</t>
    </r>
  </si>
  <si>
    <r>
      <t>Demolition Hammer</t>
    </r>
    <r>
      <rPr>
        <vertAlign val="superscript"/>
        <sz val="10"/>
        <rFont val="Arial"/>
        <family val="2"/>
      </rPr>
      <t>(4-misc)</t>
    </r>
  </si>
  <si>
    <r>
      <t>Track Boring Mach.</t>
    </r>
    <r>
      <rPr>
        <vertAlign val="superscript"/>
        <sz val="10"/>
        <rFont val="Arial"/>
        <family val="2"/>
      </rPr>
      <t>(4-misc)</t>
    </r>
  </si>
  <si>
    <t>CO Emissions Factor (lb/mile)</t>
  </si>
  <si>
    <t>VOC Emission Factor (lb/mile)</t>
  </si>
  <si>
    <t>NOx Emissions Factor (lb/mile)</t>
  </si>
  <si>
    <t>SOx Emissions Factor (lb/mile)</t>
  </si>
  <si>
    <t>PM10 Emissions Factor (lb/mile)</t>
  </si>
  <si>
    <t>Distance Traveled</t>
  </si>
  <si>
    <t>CO Emissions</t>
  </si>
  <si>
    <t>VOC Emissions</t>
  </si>
  <si>
    <t>NOx Emissions</t>
  </si>
  <si>
    <t>SOx Emissions</t>
  </si>
  <si>
    <t>PM10 Emissions</t>
  </si>
  <si>
    <t>Total Emissions for Construction Workers</t>
  </si>
  <si>
    <t>Bus</t>
  </si>
  <si>
    <t>Buses</t>
  </si>
  <si>
    <t>Total Emissions for Buses</t>
  </si>
  <si>
    <t>Flatbed Truck (Gasoline)</t>
  </si>
  <si>
    <t>Roller (Gasoline)</t>
  </si>
  <si>
    <r>
      <t>Drum Roller</t>
    </r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>(Diesel)</t>
    </r>
  </si>
  <si>
    <t>Mortar Mixer</t>
  </si>
  <si>
    <t>Excavator</t>
  </si>
  <si>
    <t>Weld Machine (Diesel)</t>
  </si>
  <si>
    <t>Semi-tractor</t>
  </si>
  <si>
    <r>
      <t xml:space="preserve">Semi-tractor </t>
    </r>
    <r>
      <rPr>
        <vertAlign val="superscript"/>
        <sz val="10"/>
        <rFont val="Arial"/>
        <family val="2"/>
      </rPr>
      <t>(4)</t>
    </r>
  </si>
  <si>
    <t xml:space="preserve">Forklift, Rough Terrain </t>
  </si>
  <si>
    <r>
      <t xml:space="preserve">Roller 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0"/>
      </rPr>
      <t xml:space="preserve"> (Gasoline)</t>
    </r>
  </si>
  <si>
    <r>
      <t xml:space="preserve">Front End Loader </t>
    </r>
    <r>
      <rPr>
        <vertAlign val="superscript"/>
        <sz val="10"/>
        <rFont val="Arial"/>
        <family val="2"/>
      </rPr>
      <t>(4)</t>
    </r>
  </si>
  <si>
    <r>
      <t xml:space="preserve">Tractor, Utility </t>
    </r>
    <r>
      <rPr>
        <vertAlign val="superscript"/>
        <sz val="10"/>
        <rFont val="Arial"/>
        <family val="2"/>
      </rPr>
      <t>(4)</t>
    </r>
  </si>
  <si>
    <t>Tractor, utility</t>
  </si>
  <si>
    <t>Forklift, Rough Terrain</t>
  </si>
  <si>
    <t>Drum Roller (Diesel)</t>
  </si>
  <si>
    <t>Construction Equipment - December 2004</t>
  </si>
  <si>
    <t>Construction Equipment - January 2005</t>
  </si>
  <si>
    <t>Construction Equipment - September 2005</t>
  </si>
  <si>
    <t>From Trucks and Employee Vehicles - December 2004</t>
  </si>
  <si>
    <t>From Trucks and Employee Vehicles - January 2005</t>
  </si>
  <si>
    <t>From Trucks and Employee Vehicles - September 2005</t>
  </si>
  <si>
    <t>On-site cars</t>
  </si>
  <si>
    <t>Light Duty Trucks on Paved Roadways</t>
  </si>
  <si>
    <t>Estimated Emissions - December, 2004</t>
  </si>
  <si>
    <t>Estimated Emissions - January, 2005</t>
  </si>
  <si>
    <t>Estimated Emissions - September, 2005</t>
  </si>
  <si>
    <t>Yes</t>
  </si>
  <si>
    <t>Paint Primer Architectural Coating Emissions</t>
  </si>
  <si>
    <t>Activity</t>
  </si>
  <si>
    <t>Amount</t>
  </si>
  <si>
    <t>Notes</t>
  </si>
  <si>
    <t>Volume Applied (gallons/day)</t>
  </si>
  <si>
    <t>VOC Content (lb/gallon)</t>
  </si>
  <si>
    <t>SCAQMD Rule 1113 Limit</t>
  </si>
  <si>
    <t>VOC Emissions (lbs/day)</t>
  </si>
  <si>
    <t>* Emission Calculations from SCAQMD CEQA Air Quality Handbook, Table A9-9</t>
  </si>
  <si>
    <t>Architectural Coatings</t>
  </si>
  <si>
    <t>Painting of Storage Spheres - September 2005</t>
  </si>
  <si>
    <t xml:space="preserve">REFINERY CONSTRUCTION </t>
  </si>
  <si>
    <t>REFINERY CONSTRUCTION</t>
  </si>
  <si>
    <t>B-1</t>
  </si>
  <si>
    <t>B-2</t>
  </si>
  <si>
    <t>B-3</t>
  </si>
  <si>
    <t>B-4</t>
  </si>
  <si>
    <t>B-5</t>
  </si>
  <si>
    <t>B-6</t>
  </si>
  <si>
    <t>B-7</t>
  </si>
  <si>
    <t>B-9</t>
  </si>
  <si>
    <t>B-10</t>
  </si>
  <si>
    <t>B-11</t>
  </si>
  <si>
    <t>B-12</t>
  </si>
  <si>
    <t>B-13</t>
  </si>
  <si>
    <t>B-14</t>
  </si>
  <si>
    <t>Emission Estimates - Dec. 2004</t>
  </si>
  <si>
    <t>Emission Estimates - Jan. 2005</t>
  </si>
  <si>
    <t>Emission Estimates - Sept. 2005</t>
  </si>
  <si>
    <t>B-8</t>
  </si>
  <si>
    <t>B-15</t>
  </si>
  <si>
    <t>Total Emissions (lbs/day)</t>
  </si>
  <si>
    <t>Construction Equipment - Mitigated Emissions</t>
  </si>
  <si>
    <r>
      <t>Generators (Gasoline)</t>
    </r>
    <r>
      <rPr>
        <vertAlign val="superscript"/>
        <sz val="10"/>
        <rFont val="Arial"/>
        <family val="2"/>
      </rPr>
      <t>(1)</t>
    </r>
  </si>
  <si>
    <r>
      <t>Weld Machine</t>
    </r>
    <r>
      <rPr>
        <vertAlign val="superscript"/>
        <sz val="10"/>
        <rFont val="Arial"/>
        <family val="2"/>
      </rPr>
      <t>(2)</t>
    </r>
  </si>
  <si>
    <t>(1) Assumes 3 generators (instead of 9) will be required.</t>
  </si>
  <si>
    <t>(2) Assumes 15 diesel weld machines (instead of 74) will be required.</t>
  </si>
  <si>
    <t>On Road Mobile Emission Factors from California ARB EMFAC2002 Scenario Year 2004 (Model Years 1965 to 2004)</t>
  </si>
  <si>
    <t>Peak Day Emissions = Emission Factor x Number of Trips x Distance Travelled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</si>
  <si>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  - C</t>
    </r>
  </si>
  <si>
    <t>and 20 for heavy trucks), and C = emission factor for 1980's vehicle fleet exhaust, brake wear and tire wear (0.00047 lbs/VMT).</t>
  </si>
  <si>
    <t>Peak Value</t>
  </si>
  <si>
    <t>B-16</t>
  </si>
  <si>
    <t xml:space="preserve"> CARB PHASE III PROPOSED PROJECT FUGITIVE EMISSION ESTIMATES</t>
  </si>
  <si>
    <t>Unit</t>
  </si>
  <si>
    <t>Component</t>
  </si>
  <si>
    <t>Quantity</t>
  </si>
  <si>
    <t>Uncertainty Factor</t>
  </si>
  <si>
    <t>Revised Quantity</t>
  </si>
  <si>
    <t>Emission Factor (lbs/yr)</t>
  </si>
  <si>
    <t>Emissions (lbs/yr)*</t>
  </si>
  <si>
    <t>Unit 68 Alkylation Unit</t>
  </si>
  <si>
    <t>Pumps (liquid liquid)</t>
  </si>
  <si>
    <t>Valves (vapor)</t>
  </si>
  <si>
    <t>Valves (light liquid)</t>
  </si>
  <si>
    <t>Valves (heavy liquid)</t>
  </si>
  <si>
    <t>Valves (&gt;8")</t>
  </si>
  <si>
    <t>pumps (light liquid)</t>
  </si>
  <si>
    <t>valves (light liquid)</t>
  </si>
  <si>
    <t>fittings(flanges, etc)</t>
  </si>
  <si>
    <t>valves (gas/vapor)</t>
  </si>
  <si>
    <t>pumps (heavy liquid)</t>
  </si>
  <si>
    <t>valves (heavy liquid)</t>
  </si>
  <si>
    <t>Compressors</t>
  </si>
  <si>
    <t>Drains</t>
  </si>
  <si>
    <t>PRVs</t>
  </si>
  <si>
    <t>Alkyl Unit Totals</t>
  </si>
  <si>
    <t>Butamer Totals</t>
  </si>
  <si>
    <t>Unit 43/33 Totals</t>
  </si>
  <si>
    <t>Emissions (lbs/yr)</t>
  </si>
  <si>
    <t>New Fuel Gas Treating</t>
  </si>
  <si>
    <t>Treating Unit Totals</t>
  </si>
  <si>
    <t>Totals</t>
  </si>
  <si>
    <t>Boiler</t>
  </si>
  <si>
    <t>Flare</t>
  </si>
  <si>
    <t>Butane Sphere</t>
  </si>
  <si>
    <t>Hot Oil Heater</t>
  </si>
  <si>
    <t>Propane Storage Tank</t>
  </si>
  <si>
    <t>Total VOC Fugitive Emissions (lbs/yr)</t>
  </si>
  <si>
    <t>Total VOC Fugitive Emissions (lbs/day)</t>
  </si>
  <si>
    <t>(1)  Emission calculations assume that none of the valves in HF service will be leakless.</t>
  </si>
  <si>
    <t>(2)  Emission calculations assume that 70% of the valves in light liquid service will be leakless.</t>
  </si>
  <si>
    <t>N:2185:Fugitive Emissions</t>
  </si>
  <si>
    <r>
      <t>VOC Service with HF Acid</t>
    </r>
    <r>
      <rPr>
        <i/>
        <vertAlign val="superscript"/>
        <sz val="8"/>
        <rFont val="Arial"/>
        <family val="2"/>
      </rPr>
      <t>(1)</t>
    </r>
  </si>
  <si>
    <r>
      <t>VOC Service, non-HF</t>
    </r>
    <r>
      <rPr>
        <i/>
        <vertAlign val="superscript"/>
        <sz val="8"/>
        <rFont val="Arial"/>
        <family val="2"/>
      </rPr>
      <t>(2)</t>
    </r>
  </si>
  <si>
    <r>
      <t>Unit 69 Butamer</t>
    </r>
    <r>
      <rPr>
        <vertAlign val="superscript"/>
        <sz val="10"/>
        <rFont val="Arial"/>
        <family val="2"/>
      </rPr>
      <t>(2)</t>
    </r>
  </si>
  <si>
    <r>
      <t>Unit 43/44 Light Ends</t>
    </r>
    <r>
      <rPr>
        <vertAlign val="superscript"/>
        <sz val="10"/>
        <rFont val="Arial"/>
        <family val="2"/>
      </rPr>
      <t>(2)</t>
    </r>
  </si>
  <si>
    <r>
      <t>Unit</t>
    </r>
    <r>
      <rPr>
        <vertAlign val="superscript"/>
        <sz val="10"/>
        <rFont val="Arial"/>
        <family val="2"/>
      </rPr>
      <t>(2)</t>
    </r>
  </si>
  <si>
    <r>
      <t>Naphtha Hydrotreater</t>
    </r>
    <r>
      <rPr>
        <vertAlign val="superscript"/>
        <sz val="10"/>
        <rFont val="Arial"/>
        <family val="2"/>
      </rPr>
      <t>(2)</t>
    </r>
  </si>
  <si>
    <t xml:space="preserve"> Fugitive Dust Emission Estimates</t>
  </si>
  <si>
    <t>From Trucks (Operational Emissions)</t>
  </si>
  <si>
    <t>B-17</t>
  </si>
  <si>
    <t>Boiler Unit 68</t>
  </si>
  <si>
    <t>New Boiler</t>
  </si>
  <si>
    <t>mmBtu/hr</t>
  </si>
  <si>
    <t>Hours/day</t>
  </si>
  <si>
    <t>Pollutant</t>
  </si>
  <si>
    <t>Emission Factor (lbs/mmscf)</t>
  </si>
  <si>
    <t>Project Emission Rate (lbs/day)</t>
  </si>
  <si>
    <t>Project Emission Rate (lbs/hour)</t>
  </si>
  <si>
    <t>Ammonia</t>
  </si>
  <si>
    <t>(1)  Assumes NOx is controlled to 9 ppm via SCR and ammonia</t>
  </si>
  <si>
    <t xml:space="preserve">      slip is limited to 20 ppm.</t>
  </si>
  <si>
    <t>Emission Rate (lbs/month)</t>
  </si>
  <si>
    <r>
      <t>Controlled Daily Emissions</t>
    </r>
    <r>
      <rPr>
        <b/>
        <vertAlign val="superscript"/>
        <sz val="10"/>
        <rFont val="Arial"/>
        <family val="2"/>
      </rPr>
      <t>(1)</t>
    </r>
  </si>
  <si>
    <r>
      <t>Controlled Hourly Emissions</t>
    </r>
    <r>
      <rPr>
        <b/>
        <vertAlign val="superscript"/>
        <sz val="10"/>
        <rFont val="Arial"/>
        <family val="2"/>
      </rPr>
      <t>(1)</t>
    </r>
  </si>
  <si>
    <r>
      <t>NOx</t>
    </r>
    <r>
      <rPr>
        <vertAlign val="superscript"/>
        <sz val="10"/>
        <rFont val="Arial"/>
        <family val="2"/>
      </rPr>
      <t>(1)</t>
    </r>
  </si>
  <si>
    <r>
      <t>Controlled Monthly Emissions</t>
    </r>
    <r>
      <rPr>
        <b/>
        <vertAlign val="superscript"/>
        <sz val="10"/>
        <rFont val="Arial"/>
        <family val="2"/>
      </rPr>
      <t>(1)</t>
    </r>
  </si>
  <si>
    <t>Hot Oil Heater 68-H-2</t>
  </si>
  <si>
    <t>New Heater</t>
  </si>
  <si>
    <t>New Flare</t>
  </si>
  <si>
    <t>Emissions from Pilot Gas:</t>
  </si>
  <si>
    <t>Emission Rate (lbs/day)</t>
  </si>
  <si>
    <t>Emission Rate (lbs/hour)</t>
  </si>
  <si>
    <t>(1)  Assumes SCAQMD Default Emission Factors for Natural Gas</t>
  </si>
  <si>
    <t>(1)  Assumes SCAQMD Default Emission Factors for Refinery Fuel Gas</t>
  </si>
  <si>
    <r>
      <t>Uncontrolled Daily Emissions</t>
    </r>
    <r>
      <rPr>
        <b/>
        <vertAlign val="superscript"/>
        <sz val="10"/>
        <rFont val="Arial"/>
        <family val="2"/>
      </rPr>
      <t>(1)</t>
    </r>
  </si>
  <si>
    <r>
      <t>Uncontrolled Hourly Emissions</t>
    </r>
    <r>
      <rPr>
        <b/>
        <vertAlign val="superscript"/>
        <sz val="10"/>
        <rFont val="Arial"/>
        <family val="2"/>
      </rPr>
      <t>(1)</t>
    </r>
  </si>
  <si>
    <r>
      <t>Uncontrolled Monthly Emissions</t>
    </r>
    <r>
      <rPr>
        <b/>
        <vertAlign val="superscript"/>
        <sz val="10"/>
        <rFont val="Arial"/>
        <family val="2"/>
      </rPr>
      <t>(1)</t>
    </r>
  </si>
  <si>
    <t>Increased Heater Duty</t>
  </si>
  <si>
    <t>(1)  Asssumes SCR ammonia slip limited to 20 ppm and no increase in NOx emissions.</t>
  </si>
  <si>
    <r>
      <t>Controlled Increased Daily Emissions</t>
    </r>
    <r>
      <rPr>
        <b/>
        <vertAlign val="superscript"/>
        <sz val="10"/>
        <rFont val="Arial"/>
        <family val="2"/>
      </rPr>
      <t>(1)</t>
    </r>
  </si>
  <si>
    <r>
      <t>Controlled Increased Hourly Emissions</t>
    </r>
    <r>
      <rPr>
        <b/>
        <vertAlign val="superscript"/>
        <sz val="10"/>
        <rFont val="Arial"/>
        <family val="2"/>
      </rPr>
      <t>(1)</t>
    </r>
  </si>
  <si>
    <t>Emissions Limit (ppm)</t>
  </si>
  <si>
    <t xml:space="preserve">Molecular Weight </t>
  </si>
  <si>
    <t>High Heating Value (Btu/scf)</t>
  </si>
  <si>
    <t>(1)  The emission factor is determined from Equation 28a of Rule 2012 A, Chapter 4 using one fuel type.</t>
  </si>
  <si>
    <r>
      <t>Emissions (lb/mmscf)</t>
    </r>
    <r>
      <rPr>
        <b/>
        <vertAlign val="superscript"/>
        <sz val="10"/>
        <rFont val="Arial"/>
        <family val="2"/>
      </rPr>
      <t>(1)</t>
    </r>
  </si>
  <si>
    <t>On Road Mobile Emission Factors from California ARB EMFAC2002 Scenario Year 2005 (Model Years 1965 to 2005)</t>
  </si>
  <si>
    <t>OPERATIONAL EMISSION SUMMARY</t>
  </si>
  <si>
    <t>Estimated Emissions</t>
  </si>
  <si>
    <t>Fugitive Emissions</t>
  </si>
  <si>
    <t>Delivery Trucks</t>
  </si>
  <si>
    <t>Boiler 68</t>
  </si>
  <si>
    <t>Modified Heater 56-H-2</t>
  </si>
  <si>
    <t>Total Emissions from Stationary Sources</t>
  </si>
  <si>
    <t>Total Emissions from Mobile Sources</t>
  </si>
  <si>
    <t>B-20</t>
  </si>
  <si>
    <t>B-21</t>
  </si>
  <si>
    <t>B-18</t>
  </si>
  <si>
    <t>B-19</t>
  </si>
  <si>
    <t>Tamper (Gasoline)</t>
  </si>
  <si>
    <t>Surfacing equipment (Gasoline)</t>
  </si>
  <si>
    <t>Surfacing Equipment (Gasoline)</t>
  </si>
  <si>
    <t>Emission Factor (lbs.hr) = Hp x Load x emission factor (lbs/hp-hr).</t>
  </si>
  <si>
    <t>Based on California ARB EMFAC2002 model years 1965-2004, state-wide annual simple averages (www.aqmd.gov/ceqa/handbook//onroadEF03_25.xls)</t>
  </si>
  <si>
    <t>(5)  Mitigated Emissions assume that watering 3 times per day controls emissions by 66 percent (Uncontrolled Emissions x 0.34)</t>
  </si>
  <si>
    <r>
      <t>Mitigated Emissions (assumes water 3 times/day)</t>
    </r>
    <r>
      <rPr>
        <vertAlign val="superscript"/>
        <sz val="10"/>
        <rFont val="Arial"/>
        <family val="2"/>
      </rPr>
      <t>(5)</t>
    </r>
  </si>
  <si>
    <t>* Emission Calculations for travel on paved roads from EPA AP-42 Section 13.2.1, December 2003</t>
  </si>
  <si>
    <t>**Emission Calculations for travel on unpaved roads from EPA AP-42 Section 13.2.2, December 2003.</t>
  </si>
  <si>
    <r>
      <t>E = k(s/12)</t>
    </r>
    <r>
      <rPr>
        <vertAlign val="superscript"/>
        <sz val="8"/>
        <rFont val="Arial"/>
        <family val="2"/>
      </rPr>
      <t>0.9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0.45</t>
    </r>
  </si>
  <si>
    <t xml:space="preserve">Where:  s = surface silt content (assumed to be 8.5%, AP-42 Table 13.2.2-1), W = vehicle weight (tons) same assumptions as above, and </t>
  </si>
  <si>
    <t>Revised quantity = quantity x uncertainty factor</t>
  </si>
  <si>
    <t>Emissions = revised quantity x emission factor</t>
  </si>
  <si>
    <t>Btu/scf</t>
  </si>
  <si>
    <r>
      <t>mmscf</t>
    </r>
    <r>
      <rPr>
        <sz val="10"/>
        <rFont val="Arial"/>
        <family val="2"/>
      </rPr>
      <t>/day</t>
    </r>
  </si>
  <si>
    <t>mmscf/day = 245 mmBtu/hr x 24 hr/day x mmscf/1,400 Btu = 4.2 mmscf/day</t>
  </si>
  <si>
    <t>Project Emissions = fuel consumption (mmscf/day) x emission factor (lbs/mmscf)</t>
  </si>
  <si>
    <r>
      <t>mmscf</t>
    </r>
    <r>
      <rPr>
        <sz val="10"/>
        <rFont val="Arial"/>
        <family val="2"/>
      </rPr>
      <t>/hr</t>
    </r>
  </si>
  <si>
    <t>Construction Equipment - Additional Demolition Activities</t>
  </si>
  <si>
    <t>Estimated Emissions - Additional Demolition Activities</t>
  </si>
  <si>
    <t>From Trucks and Employee Vehicles - Additional Demolition Activities</t>
  </si>
  <si>
    <t>B-22</t>
  </si>
  <si>
    <t>B-23</t>
  </si>
  <si>
    <t>B-24</t>
  </si>
  <si>
    <t>Large Crane</t>
  </si>
  <si>
    <t>Document</t>
  </si>
  <si>
    <t>Construction Emissions in Draft EIR</t>
  </si>
  <si>
    <t>Construction Emissions in Final EIR</t>
  </si>
  <si>
    <t>Difference Between Draft and Final EIR</t>
  </si>
  <si>
    <t>Construction Emissions (lbs/day)</t>
  </si>
  <si>
    <t>Mitigated Construction Emissions (lbs/day)</t>
  </si>
  <si>
    <t>Significant Change?</t>
  </si>
  <si>
    <t>Significant?</t>
  </si>
  <si>
    <t>Mitigated Construction Emissions in Draft EIR</t>
  </si>
  <si>
    <t>B-25</t>
  </si>
  <si>
    <t>B-31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</si>
</sst>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#,##0.0000"/>
    <numFmt numFmtId="16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thin"/>
      <top style="thin"/>
      <bottom style="thick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double"/>
      <bottom style="thick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/>
    </border>
    <border>
      <left style="thick"/>
      <right style="thick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/>
      <right style="thin"/>
      <top/>
      <bottom style="thick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/>
    </xf>
    <xf numFmtId="0" fontId="4" fillId="0" borderId="2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34" borderId="43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2" fontId="0" fillId="0" borderId="47" xfId="0" applyNumberFormat="1" applyBorder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2" fontId="0" fillId="0" borderId="48" xfId="0" applyNumberFormat="1" applyBorder="1" applyAlignment="1">
      <alignment/>
    </xf>
    <xf numFmtId="0" fontId="5" fillId="0" borderId="49" xfId="0" applyFont="1" applyFill="1" applyBorder="1" applyAlignment="1">
      <alignment horizontal="right"/>
    </xf>
    <xf numFmtId="0" fontId="2" fillId="0" borderId="37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0" fontId="0" fillId="0" borderId="50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/>
    </xf>
    <xf numFmtId="164" fontId="0" fillId="0" borderId="52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wrapText="1"/>
    </xf>
    <xf numFmtId="2" fontId="0" fillId="0" borderId="29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0" applyFont="1" applyAlignment="1">
      <alignment/>
    </xf>
    <xf numFmtId="165" fontId="0" fillId="0" borderId="22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2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/>
    </xf>
    <xf numFmtId="2" fontId="0" fillId="0" borderId="45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2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4" fillId="0" borderId="21" xfId="0" applyFont="1" applyBorder="1" applyAlignment="1">
      <alignment horizontal="left"/>
    </xf>
    <xf numFmtId="0" fontId="0" fillId="0" borderId="55" xfId="0" applyBorder="1" applyAlignment="1">
      <alignment horizontal="center" wrapText="1"/>
    </xf>
    <xf numFmtId="2" fontId="0" fillId="0" borderId="63" xfId="0" applyNumberFormat="1" applyBorder="1" applyAlignment="1">
      <alignment/>
    </xf>
    <xf numFmtId="2" fontId="0" fillId="0" borderId="62" xfId="0" applyNumberFormat="1" applyBorder="1" applyAlignment="1">
      <alignment/>
    </xf>
    <xf numFmtId="0" fontId="0" fillId="0" borderId="63" xfId="0" applyBorder="1" applyAlignment="1">
      <alignment horizontal="right"/>
    </xf>
    <xf numFmtId="0" fontId="0" fillId="0" borderId="62" xfId="0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62" xfId="0" applyBorder="1" applyAlignment="1">
      <alignment horizontal="center"/>
    </xf>
    <xf numFmtId="0" fontId="8" fillId="0" borderId="0" xfId="0" applyFont="1" applyAlignment="1">
      <alignment/>
    </xf>
    <xf numFmtId="164" fontId="0" fillId="0" borderId="62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6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2" fontId="0" fillId="0" borderId="66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0" xfId="0" applyBorder="1" applyAlignment="1">
      <alignment wrapText="1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18" xfId="0" applyNumberFormat="1" applyBorder="1" applyAlignment="1" quotePrefix="1">
      <alignment horizontal="center"/>
    </xf>
    <xf numFmtId="164" fontId="0" fillId="0" borderId="72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73" xfId="0" applyNumberFormat="1" applyBorder="1" applyAlignment="1">
      <alignment/>
    </xf>
    <xf numFmtId="164" fontId="0" fillId="0" borderId="74" xfId="0" applyNumberFormat="1" applyBorder="1" applyAlignment="1">
      <alignment/>
    </xf>
    <xf numFmtId="164" fontId="0" fillId="0" borderId="45" xfId="0" applyNumberFormat="1" applyBorder="1" applyAlignment="1" quotePrefix="1">
      <alignment horizontal="center"/>
    </xf>
    <xf numFmtId="0" fontId="0" fillId="0" borderId="75" xfId="0" applyBorder="1" applyAlignment="1">
      <alignment horizontal="center"/>
    </xf>
    <xf numFmtId="0" fontId="0" fillId="0" borderId="66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76" xfId="0" applyBorder="1" applyAlignment="1">
      <alignment horizontal="left"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14" xfId="0" applyFont="1" applyBorder="1" applyAlignment="1">
      <alignment wrapText="1"/>
    </xf>
    <xf numFmtId="2" fontId="0" fillId="0" borderId="78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164" fontId="0" fillId="0" borderId="18" xfId="0" applyNumberFormat="1" applyBorder="1" applyAlignment="1" quotePrefix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79" xfId="0" applyNumberFormat="1" applyBorder="1" applyAlignment="1">
      <alignment/>
    </xf>
    <xf numFmtId="164" fontId="0" fillId="0" borderId="80" xfId="0" applyNumberFormat="1" applyBorder="1" applyAlignment="1">
      <alignment/>
    </xf>
    <xf numFmtId="2" fontId="0" fillId="0" borderId="18" xfId="0" applyNumberFormat="1" applyBorder="1" applyAlignment="1" quotePrefix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47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3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0" xfId="0" applyAlignment="1">
      <alignment textRotation="180"/>
    </xf>
    <xf numFmtId="0" fontId="0" fillId="0" borderId="25" xfId="0" applyBorder="1" applyAlignment="1">
      <alignment textRotation="180"/>
    </xf>
    <xf numFmtId="0" fontId="0" fillId="0" borderId="77" xfId="0" applyBorder="1" applyAlignment="1">
      <alignment wrapText="1"/>
    </xf>
    <xf numFmtId="0" fontId="12" fillId="0" borderId="0" xfId="0" applyFont="1" applyAlignment="1">
      <alignment textRotation="180"/>
    </xf>
    <xf numFmtId="164" fontId="0" fillId="0" borderId="45" xfId="0" applyNumberFormat="1" applyBorder="1" applyAlignment="1">
      <alignment horizontal="right"/>
    </xf>
    <xf numFmtId="164" fontId="0" fillId="0" borderId="75" xfId="0" applyNumberFormat="1" applyBorder="1" applyAlignment="1">
      <alignment horizontal="right"/>
    </xf>
    <xf numFmtId="2" fontId="0" fillId="0" borderId="82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0" fontId="0" fillId="0" borderId="0" xfId="0" applyFont="1" applyAlignment="1">
      <alignment/>
    </xf>
    <xf numFmtId="168" fontId="0" fillId="34" borderId="18" xfId="0" applyNumberForma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46" xfId="0" applyBorder="1" applyAlignment="1">
      <alignment/>
    </xf>
    <xf numFmtId="1" fontId="0" fillId="0" borderId="46" xfId="0" applyNumberFormat="1" applyBorder="1" applyAlignment="1">
      <alignment/>
    </xf>
    <xf numFmtId="0" fontId="0" fillId="0" borderId="87" xfId="0" applyBorder="1" applyAlignment="1">
      <alignment/>
    </xf>
    <xf numFmtId="0" fontId="6" fillId="0" borderId="46" xfId="0" applyFont="1" applyBorder="1" applyAlignment="1">
      <alignment/>
    </xf>
    <xf numFmtId="168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0" fontId="0" fillId="0" borderId="85" xfId="0" applyBorder="1" applyAlignment="1">
      <alignment/>
    </xf>
    <xf numFmtId="1" fontId="0" fillId="0" borderId="85" xfId="0" applyNumberFormat="1" applyBorder="1" applyAlignment="1">
      <alignment/>
    </xf>
    <xf numFmtId="1" fontId="2" fillId="0" borderId="85" xfId="0" applyNumberFormat="1" applyFont="1" applyBorder="1" applyAlignment="1">
      <alignment horizontal="center" wrapText="1"/>
    </xf>
    <xf numFmtId="0" fontId="2" fillId="0" borderId="86" xfId="0" applyFont="1" applyBorder="1" applyAlignment="1">
      <alignment wrapText="1"/>
    </xf>
    <xf numFmtId="0" fontId="0" fillId="0" borderId="31" xfId="0" applyBorder="1" applyAlignment="1">
      <alignment/>
    </xf>
    <xf numFmtId="1" fontId="0" fillId="0" borderId="31" xfId="0" applyNumberFormat="1" applyBorder="1" applyAlignment="1">
      <alignment/>
    </xf>
    <xf numFmtId="0" fontId="3" fillId="0" borderId="46" xfId="0" applyFont="1" applyBorder="1" applyAlignment="1">
      <alignment/>
    </xf>
    <xf numFmtId="0" fontId="0" fillId="0" borderId="88" xfId="0" applyBorder="1" applyAlignment="1">
      <alignment/>
    </xf>
    <xf numFmtId="0" fontId="2" fillId="0" borderId="0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2" fillId="0" borderId="91" xfId="0" applyFont="1" applyBorder="1" applyAlignment="1">
      <alignment/>
    </xf>
    <xf numFmtId="0" fontId="0" fillId="0" borderId="91" xfId="0" applyBorder="1" applyAlignment="1">
      <alignment/>
    </xf>
    <xf numFmtId="2" fontId="0" fillId="0" borderId="92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3" xfId="0" applyFont="1" applyBorder="1" applyAlignment="1">
      <alignment/>
    </xf>
    <xf numFmtId="0" fontId="2" fillId="0" borderId="93" xfId="0" applyFont="1" applyBorder="1" applyAlignment="1">
      <alignment horizontal="center" wrapText="1"/>
    </xf>
    <xf numFmtId="2" fontId="0" fillId="0" borderId="31" xfId="0" applyNumberFormat="1" applyBorder="1" applyAlignment="1">
      <alignment/>
    </xf>
    <xf numFmtId="2" fontId="0" fillId="0" borderId="94" xfId="0" applyNumberFormat="1" applyBorder="1" applyAlignment="1">
      <alignment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0" fontId="3" fillId="0" borderId="0" xfId="0" applyFont="1" applyAlignment="1" quotePrefix="1">
      <alignment horizontal="left"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91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42" xfId="0" applyNumberFormat="1" applyBorder="1" applyAlignment="1" quotePrefix="1">
      <alignment horizontal="center"/>
    </xf>
    <xf numFmtId="168" fontId="0" fillId="0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89" xfId="0" applyBorder="1" applyAlignment="1">
      <alignment textRotation="180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2" fontId="0" fillId="0" borderId="45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/>
    </xf>
    <xf numFmtId="2" fontId="0" fillId="0" borderId="58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78" xfId="0" applyBorder="1" applyAlignment="1">
      <alignment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99" xfId="0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70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 textRotation="180"/>
    </xf>
    <xf numFmtId="2" fontId="0" fillId="0" borderId="8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55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 vertical="center" textRotation="180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83" xfId="0" applyBorder="1" applyAlignment="1">
      <alignment/>
    </xf>
    <xf numFmtId="0" fontId="0" fillId="0" borderId="0" xfId="0" applyAlignment="1">
      <alignment horizont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90" xfId="0" applyBorder="1" applyAlignment="1">
      <alignment/>
    </xf>
    <xf numFmtId="0" fontId="0" fillId="0" borderId="106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89" xfId="0" applyBorder="1" applyAlignment="1">
      <alignment horizontal="left" vertical="top" textRotation="180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7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9" xfId="0" applyBorder="1" applyAlignment="1">
      <alignment/>
    </xf>
    <xf numFmtId="0" fontId="2" fillId="0" borderId="78" xfId="0" applyFont="1" applyBorder="1" applyAlignment="1">
      <alignment/>
    </xf>
    <xf numFmtId="0" fontId="0" fillId="0" borderId="78" xfId="0" applyFont="1" applyBorder="1" applyAlignment="1">
      <alignment wrapText="1"/>
    </xf>
    <xf numFmtId="0" fontId="0" fillId="0" borderId="59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/>
    </xf>
    <xf numFmtId="0" fontId="3" fillId="0" borderId="110" xfId="0" applyFont="1" applyBorder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0" fillId="0" borderId="0" xfId="0" applyAlignment="1" quotePrefix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104775</xdr:rowOff>
    </xdr:from>
    <xdr:to>
      <xdr:col>7</xdr:col>
      <xdr:colOff>552450</xdr:colOff>
      <xdr:row>30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1495425"/>
          <a:ext cx="5562600" cy="3676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  =  PPMVO2  x [20.9/(20.9 - b)] x 1.195 x 10-7 x F x V x MWPollutant / MWNOx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  = The mass emission of given pollutant (lb/mmscf).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PPMV O2  = The RECLAIM concentration limit as listed in the Facility Permit. (ppmv) and based on standardized oxygen concentration in the exhaust stream.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= The standard concentrations of oxygen as listed in the Facility Permit or as found in Table 3-F. (3%).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Fd j  =  The dry F factor for oxygen for each type of fuel, the ratio of the dry gas volume of the products of combustion to the heat content of the fuel (dscf/mmBtu) specified in 40 CFR Part 60, Appendix A, Method 19. (8710)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Vj  =  The higher heating value of the fuel for each type of fuel found in Table 3-D (mmBtu/mmscf) or determined by a continuous analyzer.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MWPollutant = Molecular weight of pollutant.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MWNOX = Molecular weight of nitrogen dioxide.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05\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ALCS_ab2588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50\2150SCH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45"/>
  <sheetViews>
    <sheetView zoomScalePageLayoutView="0" workbookViewId="0" topLeftCell="A1">
      <selection activeCell="B13" sqref="B13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2:14" ht="15.75" customHeight="1">
      <c r="B2" s="253" t="s">
        <v>64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5.75" thickTop="1">
      <c r="B4" s="66" t="s">
        <v>65</v>
      </c>
      <c r="C4" s="67"/>
      <c r="D4" s="67"/>
      <c r="E4" s="68"/>
      <c r="F4" s="69" t="s">
        <v>130</v>
      </c>
      <c r="G4" s="69"/>
      <c r="H4" s="11"/>
      <c r="I4" s="70"/>
      <c r="J4" s="71"/>
      <c r="K4" s="69" t="s">
        <v>67</v>
      </c>
      <c r="L4" s="72"/>
      <c r="M4" s="73"/>
      <c r="N4" s="12"/>
    </row>
    <row r="5" spans="2:14" ht="15.75" thickBot="1">
      <c r="B5" s="74" t="s">
        <v>5</v>
      </c>
      <c r="C5" s="94" t="s">
        <v>128</v>
      </c>
      <c r="D5" s="75" t="s">
        <v>129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37</v>
      </c>
      <c r="D6" s="81">
        <v>0.48</v>
      </c>
      <c r="E6" s="157">
        <v>0.011</v>
      </c>
      <c r="F6" s="157">
        <v>0.002</v>
      </c>
      <c r="G6" s="157">
        <v>0.018</v>
      </c>
      <c r="H6" s="157">
        <v>0.002</v>
      </c>
      <c r="I6" s="157">
        <v>0.001</v>
      </c>
      <c r="J6" s="163">
        <f aca="true" t="shared" si="0" ref="J6:J16">+$C6*$D6*E6</f>
        <v>0.19535999999999998</v>
      </c>
      <c r="K6" s="163">
        <f aca="true" t="shared" si="1" ref="K6:N22">+$C6*$D6*F6</f>
        <v>0.035519999999999996</v>
      </c>
      <c r="L6" s="163">
        <f t="shared" si="1"/>
        <v>0.31967999999999996</v>
      </c>
      <c r="M6" s="163">
        <f t="shared" si="1"/>
        <v>0.035519999999999996</v>
      </c>
      <c r="N6" s="179">
        <f t="shared" si="1"/>
        <v>0.017759999999999998</v>
      </c>
    </row>
    <row r="7" spans="2:14" ht="12.75">
      <c r="B7" s="83" t="s">
        <v>71</v>
      </c>
      <c r="C7" s="81">
        <v>79</v>
      </c>
      <c r="D7" s="81">
        <v>0.465</v>
      </c>
      <c r="E7" s="158">
        <v>0.015</v>
      </c>
      <c r="F7" s="158">
        <v>0.003</v>
      </c>
      <c r="G7" s="158">
        <v>0.022</v>
      </c>
      <c r="H7" s="158">
        <v>0.002</v>
      </c>
      <c r="I7" s="158">
        <v>0.001</v>
      </c>
      <c r="J7" s="163">
        <f t="shared" si="0"/>
        <v>0.551025</v>
      </c>
      <c r="K7" s="163">
        <f t="shared" si="1"/>
        <v>0.110205</v>
      </c>
      <c r="L7" s="163">
        <f t="shared" si="1"/>
        <v>0.8081699999999999</v>
      </c>
      <c r="M7" s="163">
        <f t="shared" si="1"/>
        <v>0.07347</v>
      </c>
      <c r="N7" s="179">
        <f t="shared" si="1"/>
        <v>0.036735</v>
      </c>
    </row>
    <row r="8" spans="2:14" ht="12.75">
      <c r="B8" s="80" t="s">
        <v>72</v>
      </c>
      <c r="C8" s="180">
        <v>102.9</v>
      </c>
      <c r="D8" s="159">
        <v>0.59</v>
      </c>
      <c r="E8" s="176">
        <v>0.011</v>
      </c>
      <c r="F8" s="177">
        <v>0.002</v>
      </c>
      <c r="G8" s="176">
        <v>0.023</v>
      </c>
      <c r="H8" s="157">
        <v>0.002</v>
      </c>
      <c r="I8" s="160">
        <v>0.001</v>
      </c>
      <c r="J8" s="163">
        <f t="shared" si="0"/>
        <v>0.667821</v>
      </c>
      <c r="K8" s="163">
        <f t="shared" si="1"/>
        <v>0.121422</v>
      </c>
      <c r="L8" s="163">
        <f t="shared" si="1"/>
        <v>1.396353</v>
      </c>
      <c r="M8" s="163">
        <f t="shared" si="1"/>
        <v>0.121422</v>
      </c>
      <c r="N8" s="179">
        <f t="shared" si="1"/>
        <v>0.060711</v>
      </c>
    </row>
    <row r="9" spans="2:14" ht="12.75">
      <c r="B9" s="80" t="s">
        <v>158</v>
      </c>
      <c r="C9" s="180">
        <v>102.9</v>
      </c>
      <c r="D9" s="249">
        <v>0.58</v>
      </c>
      <c r="E9" s="176">
        <v>0.011</v>
      </c>
      <c r="F9" s="177">
        <v>0.002</v>
      </c>
      <c r="G9" s="176">
        <v>0.023</v>
      </c>
      <c r="H9" s="157">
        <v>0.002</v>
      </c>
      <c r="I9" s="160">
        <v>0.001</v>
      </c>
      <c r="J9" s="163">
        <f t="shared" si="0"/>
        <v>0.656502</v>
      </c>
      <c r="K9" s="163">
        <f t="shared" si="1"/>
        <v>0.11936400000000001</v>
      </c>
      <c r="L9" s="163">
        <f t="shared" si="1"/>
        <v>1.372686</v>
      </c>
      <c r="M9" s="163">
        <f t="shared" si="1"/>
        <v>0.11936400000000001</v>
      </c>
      <c r="N9" s="179">
        <f t="shared" si="1"/>
        <v>0.059682000000000006</v>
      </c>
    </row>
    <row r="10" spans="2:14" ht="12.75">
      <c r="B10" s="80" t="s">
        <v>74</v>
      </c>
      <c r="C10" s="18">
        <v>8</v>
      </c>
      <c r="D10" s="81">
        <v>0.43</v>
      </c>
      <c r="E10" s="157">
        <v>0.83</v>
      </c>
      <c r="F10" s="157">
        <v>0.043</v>
      </c>
      <c r="G10" s="157">
        <v>0.004</v>
      </c>
      <c r="H10" s="157">
        <v>0.0005</v>
      </c>
      <c r="I10" s="160">
        <v>5E-05</v>
      </c>
      <c r="J10" s="163">
        <f t="shared" si="0"/>
        <v>2.8552</v>
      </c>
      <c r="K10" s="163">
        <f t="shared" si="1"/>
        <v>0.14792</v>
      </c>
      <c r="L10" s="163">
        <f t="shared" si="1"/>
        <v>0.01376</v>
      </c>
      <c r="M10" s="163">
        <f t="shared" si="1"/>
        <v>0.00172</v>
      </c>
      <c r="N10" s="179">
        <f t="shared" si="1"/>
        <v>0.000172</v>
      </c>
    </row>
    <row r="11" spans="2:14" ht="12.75">
      <c r="B11" s="80" t="s">
        <v>75</v>
      </c>
      <c r="C11" s="18">
        <v>194</v>
      </c>
      <c r="D11" s="81">
        <v>0.43</v>
      </c>
      <c r="E11" s="157">
        <v>0.009</v>
      </c>
      <c r="F11" s="157">
        <v>0.003</v>
      </c>
      <c r="G11" s="157">
        <v>0.023</v>
      </c>
      <c r="H11" s="157">
        <v>0.002</v>
      </c>
      <c r="I11" s="160">
        <v>0.0015</v>
      </c>
      <c r="J11" s="163">
        <f t="shared" si="0"/>
        <v>0.75078</v>
      </c>
      <c r="K11" s="163">
        <f t="shared" si="1"/>
        <v>0.25026000000000004</v>
      </c>
      <c r="L11" s="163">
        <f t="shared" si="1"/>
        <v>1.91866</v>
      </c>
      <c r="M11" s="163">
        <f t="shared" si="1"/>
        <v>0.16684000000000002</v>
      </c>
      <c r="N11" s="179">
        <f t="shared" si="1"/>
        <v>0.12513000000000002</v>
      </c>
    </row>
    <row r="12" spans="2:14" ht="12.75">
      <c r="B12" s="80" t="s">
        <v>346</v>
      </c>
      <c r="C12" s="18">
        <v>450</v>
      </c>
      <c r="D12" s="81">
        <v>0.43</v>
      </c>
      <c r="E12" s="157">
        <v>0.009</v>
      </c>
      <c r="F12" s="157">
        <v>0.003</v>
      </c>
      <c r="G12" s="157">
        <v>0.023</v>
      </c>
      <c r="H12" s="157">
        <v>0.002</v>
      </c>
      <c r="I12" s="160">
        <v>0.0015</v>
      </c>
      <c r="J12" s="163">
        <f>+$C12*$D12*E12</f>
        <v>1.7414999999999998</v>
      </c>
      <c r="K12" s="163">
        <f>+$C12*$D12*F12</f>
        <v>0.5805</v>
      </c>
      <c r="L12" s="163">
        <f>+$C12*$D12*G12</f>
        <v>4.4505</v>
      </c>
      <c r="M12" s="163">
        <f>+$C12*$D12*H12</f>
        <v>0.387</v>
      </c>
      <c r="N12" s="179">
        <f>+$C12*$D12*I12</f>
        <v>0.29025</v>
      </c>
    </row>
    <row r="13" spans="2:14" ht="12.75">
      <c r="B13" s="80" t="s">
        <v>125</v>
      </c>
      <c r="C13" s="18">
        <v>23</v>
      </c>
      <c r="D13" s="81">
        <v>0.38</v>
      </c>
      <c r="E13" s="157">
        <v>0.006</v>
      </c>
      <c r="F13" s="157">
        <v>0.002</v>
      </c>
      <c r="G13" s="157">
        <v>0.021</v>
      </c>
      <c r="H13" s="157">
        <v>0.002</v>
      </c>
      <c r="I13" s="160">
        <v>0.0015</v>
      </c>
      <c r="J13" s="163">
        <f t="shared" si="0"/>
        <v>0.05244</v>
      </c>
      <c r="K13" s="163">
        <f t="shared" si="1"/>
        <v>0.017480000000000002</v>
      </c>
      <c r="L13" s="163">
        <f t="shared" si="1"/>
        <v>0.18354</v>
      </c>
      <c r="M13" s="163">
        <f t="shared" si="1"/>
        <v>0.017480000000000002</v>
      </c>
      <c r="N13" s="179">
        <f t="shared" si="1"/>
        <v>0.01311</v>
      </c>
    </row>
    <row r="14" spans="2:14" ht="12.75">
      <c r="B14" s="80" t="s">
        <v>126</v>
      </c>
      <c r="C14" s="18">
        <v>23</v>
      </c>
      <c r="D14" s="81">
        <v>0.38</v>
      </c>
      <c r="E14" s="157">
        <v>0.006</v>
      </c>
      <c r="F14" s="157">
        <v>0.002</v>
      </c>
      <c r="G14" s="157">
        <v>0.021</v>
      </c>
      <c r="H14" s="157">
        <v>0.002</v>
      </c>
      <c r="I14" s="160">
        <v>0.0015</v>
      </c>
      <c r="J14" s="163">
        <f t="shared" si="0"/>
        <v>0.05244</v>
      </c>
      <c r="K14" s="163">
        <f t="shared" si="1"/>
        <v>0.017480000000000002</v>
      </c>
      <c r="L14" s="163">
        <f t="shared" si="1"/>
        <v>0.18354</v>
      </c>
      <c r="M14" s="163">
        <f t="shared" si="1"/>
        <v>0.017480000000000002</v>
      </c>
      <c r="N14" s="179">
        <f t="shared" si="1"/>
        <v>0.01311</v>
      </c>
    </row>
    <row r="15" spans="2:14" ht="12.75">
      <c r="B15" s="80" t="s">
        <v>127</v>
      </c>
      <c r="C15" s="18">
        <v>23</v>
      </c>
      <c r="D15" s="81">
        <v>0.38</v>
      </c>
      <c r="E15" s="157">
        <v>0.006</v>
      </c>
      <c r="F15" s="157">
        <v>0.002</v>
      </c>
      <c r="G15" s="157">
        <v>0.021</v>
      </c>
      <c r="H15" s="157">
        <v>0.002</v>
      </c>
      <c r="I15" s="160">
        <v>0.0015</v>
      </c>
      <c r="J15" s="163">
        <f t="shared" si="0"/>
        <v>0.05244</v>
      </c>
      <c r="K15" s="163">
        <f t="shared" si="1"/>
        <v>0.017480000000000002</v>
      </c>
      <c r="L15" s="163">
        <f t="shared" si="1"/>
        <v>0.18354</v>
      </c>
      <c r="M15" s="163">
        <f t="shared" si="1"/>
        <v>0.017480000000000002</v>
      </c>
      <c r="N15" s="179">
        <f t="shared" si="1"/>
        <v>0.01311</v>
      </c>
    </row>
    <row r="16" spans="2:14" ht="12.75">
      <c r="B16" s="80" t="s">
        <v>154</v>
      </c>
      <c r="C16" s="18">
        <v>9</v>
      </c>
      <c r="D16" s="81">
        <v>0.41</v>
      </c>
      <c r="E16" s="157">
        <v>0.83</v>
      </c>
      <c r="F16" s="157">
        <v>0.043</v>
      </c>
      <c r="G16" s="157">
        <v>0.004</v>
      </c>
      <c r="H16" s="157">
        <v>0.0005</v>
      </c>
      <c r="I16" s="160">
        <v>0.00025</v>
      </c>
      <c r="J16" s="163">
        <f t="shared" si="0"/>
        <v>3.0627</v>
      </c>
      <c r="K16" s="163">
        <f t="shared" si="1"/>
        <v>0.15866999999999998</v>
      </c>
      <c r="L16" s="163">
        <f t="shared" si="1"/>
        <v>0.01476</v>
      </c>
      <c r="M16" s="163">
        <f t="shared" si="1"/>
        <v>0.001845</v>
      </c>
      <c r="N16" s="179">
        <f t="shared" si="1"/>
        <v>0.0009225</v>
      </c>
    </row>
    <row r="17" spans="2:14" ht="15">
      <c r="B17" s="80" t="s">
        <v>161</v>
      </c>
      <c r="C17" s="18" t="s">
        <v>73</v>
      </c>
      <c r="D17" s="18" t="s">
        <v>73</v>
      </c>
      <c r="E17" s="157">
        <v>1.8</v>
      </c>
      <c r="F17" s="157">
        <v>0.19</v>
      </c>
      <c r="G17" s="157">
        <v>4.17</v>
      </c>
      <c r="H17" s="157">
        <v>0.45</v>
      </c>
      <c r="I17" s="160">
        <v>0.26</v>
      </c>
      <c r="J17" s="163">
        <v>1.8</v>
      </c>
      <c r="K17" s="163">
        <v>0.19</v>
      </c>
      <c r="L17" s="163">
        <v>4.17</v>
      </c>
      <c r="M17" s="163">
        <v>0.45</v>
      </c>
      <c r="N17" s="179">
        <v>0.26</v>
      </c>
    </row>
    <row r="18" spans="2:14" ht="15">
      <c r="B18" s="80" t="s">
        <v>165</v>
      </c>
      <c r="C18" s="18" t="s">
        <v>73</v>
      </c>
      <c r="D18" s="18" t="s">
        <v>73</v>
      </c>
      <c r="E18" s="157">
        <v>3.58</v>
      </c>
      <c r="F18" s="157">
        <v>0.18</v>
      </c>
      <c r="G18" s="157">
        <v>1.27</v>
      </c>
      <c r="H18" s="157">
        <v>0.09</v>
      </c>
      <c r="I18" s="160">
        <v>0.14</v>
      </c>
      <c r="J18" s="160">
        <v>3.58</v>
      </c>
      <c r="K18" s="160">
        <v>0.18</v>
      </c>
      <c r="L18" s="160">
        <v>1.27</v>
      </c>
      <c r="M18" s="160">
        <v>0.09</v>
      </c>
      <c r="N18" s="160">
        <v>0.14</v>
      </c>
    </row>
    <row r="19" spans="2:14" ht="15">
      <c r="B19" s="80" t="s">
        <v>164</v>
      </c>
      <c r="C19" s="18" t="s">
        <v>73</v>
      </c>
      <c r="D19" s="18" t="s">
        <v>73</v>
      </c>
      <c r="E19" s="157">
        <v>0.572</v>
      </c>
      <c r="F19" s="157">
        <v>0.23</v>
      </c>
      <c r="G19" s="157">
        <v>1.9</v>
      </c>
      <c r="H19" s="157">
        <v>0.182</v>
      </c>
      <c r="I19" s="160">
        <v>0.17</v>
      </c>
      <c r="J19" s="163">
        <v>0.572</v>
      </c>
      <c r="K19" s="163">
        <v>0.23</v>
      </c>
      <c r="L19" s="163">
        <v>1.9</v>
      </c>
      <c r="M19" s="163">
        <v>0.182</v>
      </c>
      <c r="N19" s="179">
        <v>0.17</v>
      </c>
    </row>
    <row r="20" spans="2:14" ht="12.75">
      <c r="B20" s="80" t="s">
        <v>77</v>
      </c>
      <c r="C20" s="18">
        <v>43</v>
      </c>
      <c r="D20" s="81">
        <v>0.505</v>
      </c>
      <c r="E20" s="157">
        <v>0.013</v>
      </c>
      <c r="F20" s="157">
        <v>0.003</v>
      </c>
      <c r="G20" s="157">
        <v>0.031</v>
      </c>
      <c r="H20" s="157">
        <v>0.002</v>
      </c>
      <c r="I20" s="157">
        <v>0.0015</v>
      </c>
      <c r="J20" s="163">
        <f>+$C20*$D20*E20</f>
        <v>0.28229499999999996</v>
      </c>
      <c r="K20" s="163">
        <f t="shared" si="1"/>
        <v>0.065145</v>
      </c>
      <c r="L20" s="163">
        <f t="shared" si="1"/>
        <v>0.673165</v>
      </c>
      <c r="M20" s="163">
        <f t="shared" si="1"/>
        <v>0.04343</v>
      </c>
      <c r="N20" s="179">
        <f t="shared" si="1"/>
        <v>0.0325725</v>
      </c>
    </row>
    <row r="21" spans="2:14" ht="15">
      <c r="B21" s="80" t="s">
        <v>135</v>
      </c>
      <c r="C21" s="18" t="s">
        <v>73</v>
      </c>
      <c r="D21" s="18" t="s">
        <v>73</v>
      </c>
      <c r="E21" s="157">
        <v>0.151</v>
      </c>
      <c r="F21" s="157">
        <v>0.039</v>
      </c>
      <c r="G21" s="157">
        <v>0.713</v>
      </c>
      <c r="H21" s="157">
        <v>0.086</v>
      </c>
      <c r="I21" s="160">
        <v>0.061</v>
      </c>
      <c r="J21" s="160">
        <v>0.151</v>
      </c>
      <c r="K21" s="160">
        <v>0.039</v>
      </c>
      <c r="L21" s="160">
        <v>0.713</v>
      </c>
      <c r="M21" s="160">
        <v>0.086</v>
      </c>
      <c r="N21" s="160">
        <v>0.061</v>
      </c>
    </row>
    <row r="22" spans="2:14" ht="12.75">
      <c r="B22" s="80" t="s">
        <v>79</v>
      </c>
      <c r="C22" s="18">
        <v>130</v>
      </c>
      <c r="D22" s="81">
        <v>0.62</v>
      </c>
      <c r="E22" s="157">
        <v>0.01</v>
      </c>
      <c r="F22" s="157">
        <v>0.002</v>
      </c>
      <c r="G22" s="157">
        <v>0.022</v>
      </c>
      <c r="H22" s="157">
        <v>0.002</v>
      </c>
      <c r="I22" s="160">
        <v>0.001</v>
      </c>
      <c r="J22" s="163">
        <f>+$C22*$D22*E22</f>
        <v>0.8059999999999999</v>
      </c>
      <c r="K22" s="163">
        <f t="shared" si="1"/>
        <v>0.16119999999999998</v>
      </c>
      <c r="L22" s="163">
        <f t="shared" si="1"/>
        <v>1.7731999999999997</v>
      </c>
      <c r="M22" s="163">
        <f t="shared" si="1"/>
        <v>0.16119999999999998</v>
      </c>
      <c r="N22" s="179">
        <f t="shared" si="1"/>
        <v>0.08059999999999999</v>
      </c>
    </row>
    <row r="23" spans="2:14" ht="15">
      <c r="B23" s="80" t="s">
        <v>136</v>
      </c>
      <c r="C23" s="18" t="s">
        <v>73</v>
      </c>
      <c r="D23" s="18" t="s">
        <v>73</v>
      </c>
      <c r="E23" s="157">
        <v>0.675</v>
      </c>
      <c r="F23" s="157">
        <v>0.15</v>
      </c>
      <c r="G23" s="157">
        <v>1.7</v>
      </c>
      <c r="H23" s="157">
        <v>0.143</v>
      </c>
      <c r="I23" s="160">
        <v>0.14</v>
      </c>
      <c r="J23" s="160">
        <v>0.675</v>
      </c>
      <c r="K23" s="160">
        <v>0.15</v>
      </c>
      <c r="L23" s="160">
        <v>1.7</v>
      </c>
      <c r="M23" s="160">
        <v>0.143</v>
      </c>
      <c r="N23" s="160">
        <v>0.14</v>
      </c>
    </row>
    <row r="24" spans="2:14" ht="12.75">
      <c r="B24" s="80" t="s">
        <v>81</v>
      </c>
      <c r="C24" s="18">
        <v>60</v>
      </c>
      <c r="D24" s="81">
        <v>0.695</v>
      </c>
      <c r="E24" s="157">
        <v>0.02</v>
      </c>
      <c r="F24" s="157">
        <v>0.003</v>
      </c>
      <c r="G24" s="157">
        <v>0.022</v>
      </c>
      <c r="H24" s="157">
        <v>0.002</v>
      </c>
      <c r="I24" s="160">
        <v>0.0015</v>
      </c>
      <c r="J24" s="163">
        <f aca="true" t="shared" si="2" ref="J24:J32">+$C24*$D24*E24</f>
        <v>0.834</v>
      </c>
      <c r="K24" s="163">
        <f aca="true" t="shared" si="3" ref="K24:K32">+$C24*$D24*F24</f>
        <v>0.1251</v>
      </c>
      <c r="L24" s="163">
        <f aca="true" t="shared" si="4" ref="L24:L32">+$C24*$D24*G24</f>
        <v>0.9173999999999999</v>
      </c>
      <c r="M24" s="163">
        <f aca="true" t="shared" si="5" ref="M24:M32">+$C24*$D24*H24</f>
        <v>0.08339999999999999</v>
      </c>
      <c r="N24" s="179">
        <f aca="true" t="shared" si="6" ref="N24:N32">+$C24*$D24*I24</f>
        <v>0.06255</v>
      </c>
    </row>
    <row r="25" spans="1:14" ht="12.75">
      <c r="A25" s="254" t="s">
        <v>194</v>
      </c>
      <c r="B25" s="80"/>
      <c r="C25" s="18"/>
      <c r="D25" s="81"/>
      <c r="E25" s="157"/>
      <c r="F25" s="157"/>
      <c r="G25" s="157"/>
      <c r="H25" s="157"/>
      <c r="I25" s="160"/>
      <c r="J25" s="163">
        <f t="shared" si="2"/>
        <v>0</v>
      </c>
      <c r="K25" s="163">
        <f t="shared" si="3"/>
        <v>0</v>
      </c>
      <c r="L25" s="163">
        <f t="shared" si="4"/>
        <v>0</v>
      </c>
      <c r="M25" s="163">
        <f t="shared" si="5"/>
        <v>0</v>
      </c>
      <c r="N25" s="179">
        <f t="shared" si="6"/>
        <v>0</v>
      </c>
    </row>
    <row r="26" spans="1:14" ht="12.75">
      <c r="A26" s="254"/>
      <c r="B26" s="80" t="s">
        <v>162</v>
      </c>
      <c r="C26" s="180">
        <v>93</v>
      </c>
      <c r="D26" s="159">
        <v>0.475</v>
      </c>
      <c r="E26" s="157">
        <v>0.022</v>
      </c>
      <c r="F26" s="157">
        <v>0.003</v>
      </c>
      <c r="G26" s="157">
        <v>0.018</v>
      </c>
      <c r="H26" s="157">
        <v>0.002</v>
      </c>
      <c r="I26" s="160">
        <v>0.0015</v>
      </c>
      <c r="J26" s="163">
        <f t="shared" si="2"/>
        <v>0.9718499999999999</v>
      </c>
      <c r="K26" s="163">
        <f t="shared" si="3"/>
        <v>0.132525</v>
      </c>
      <c r="L26" s="163">
        <f t="shared" si="4"/>
        <v>0.7951499999999999</v>
      </c>
      <c r="M26" s="163">
        <f t="shared" si="5"/>
        <v>0.08835</v>
      </c>
      <c r="N26" s="179">
        <f t="shared" si="6"/>
        <v>0.0662625</v>
      </c>
    </row>
    <row r="27" spans="2:14" ht="12.75">
      <c r="B27" s="80" t="s">
        <v>82</v>
      </c>
      <c r="C27" s="18">
        <v>12.9</v>
      </c>
      <c r="D27" s="81">
        <v>0.68</v>
      </c>
      <c r="E27" s="157">
        <v>1.479</v>
      </c>
      <c r="F27" s="157">
        <v>0.054</v>
      </c>
      <c r="G27" s="157">
        <v>0.002</v>
      </c>
      <c r="H27" s="157">
        <v>0.0006</v>
      </c>
      <c r="I27" s="157">
        <v>0.00025</v>
      </c>
      <c r="J27" s="163">
        <f t="shared" si="2"/>
        <v>12.973788</v>
      </c>
      <c r="K27" s="163">
        <f t="shared" si="3"/>
        <v>0.473688</v>
      </c>
      <c r="L27" s="163">
        <f t="shared" si="4"/>
        <v>0.017544</v>
      </c>
      <c r="M27" s="163">
        <f t="shared" si="5"/>
        <v>0.0052632</v>
      </c>
      <c r="N27" s="179">
        <f t="shared" si="6"/>
        <v>0.002193</v>
      </c>
    </row>
    <row r="28" spans="2:14" ht="12.75">
      <c r="B28" s="80" t="s">
        <v>159</v>
      </c>
      <c r="C28" s="18">
        <v>35</v>
      </c>
      <c r="D28" s="81">
        <v>0.45</v>
      </c>
      <c r="E28" s="157">
        <v>0.011</v>
      </c>
      <c r="F28" s="157">
        <v>0.002</v>
      </c>
      <c r="G28" s="157">
        <v>0.018</v>
      </c>
      <c r="H28" s="157">
        <v>0.002</v>
      </c>
      <c r="I28" s="157">
        <v>0.001</v>
      </c>
      <c r="J28" s="163">
        <f t="shared" si="2"/>
        <v>0.17325</v>
      </c>
      <c r="K28" s="163">
        <f t="shared" si="3"/>
        <v>0.0315</v>
      </c>
      <c r="L28" s="163">
        <f t="shared" si="4"/>
        <v>0.2835</v>
      </c>
      <c r="M28" s="163">
        <f t="shared" si="5"/>
        <v>0.0315</v>
      </c>
      <c r="N28" s="179">
        <f t="shared" si="6"/>
        <v>0.01575</v>
      </c>
    </row>
    <row r="29" spans="2:14" ht="12.75">
      <c r="B29" s="80"/>
      <c r="C29" s="18"/>
      <c r="D29" s="81"/>
      <c r="E29" s="157"/>
      <c r="F29" s="157"/>
      <c r="G29" s="157"/>
      <c r="H29" s="157"/>
      <c r="I29" s="160"/>
      <c r="J29" s="163">
        <f t="shared" si="2"/>
        <v>0</v>
      </c>
      <c r="K29" s="163">
        <f t="shared" si="3"/>
        <v>0</v>
      </c>
      <c r="L29" s="163">
        <f t="shared" si="4"/>
        <v>0</v>
      </c>
      <c r="M29" s="163">
        <f t="shared" si="5"/>
        <v>0</v>
      </c>
      <c r="N29" s="179">
        <f t="shared" si="6"/>
        <v>0</v>
      </c>
    </row>
    <row r="30" spans="2:14" ht="12.75">
      <c r="B30" s="80" t="s">
        <v>5</v>
      </c>
      <c r="C30" s="18"/>
      <c r="D30" s="81"/>
      <c r="E30" s="157"/>
      <c r="F30" s="157"/>
      <c r="G30" s="157"/>
      <c r="H30" s="157"/>
      <c r="I30" s="160"/>
      <c r="J30" s="163">
        <f t="shared" si="2"/>
        <v>0</v>
      </c>
      <c r="K30" s="163">
        <f t="shared" si="3"/>
        <v>0</v>
      </c>
      <c r="L30" s="163">
        <f t="shared" si="4"/>
        <v>0</v>
      </c>
      <c r="M30" s="163">
        <f t="shared" si="5"/>
        <v>0</v>
      </c>
      <c r="N30" s="179">
        <f t="shared" si="6"/>
        <v>0</v>
      </c>
    </row>
    <row r="31" spans="2:14" ht="12.75" customHeight="1">
      <c r="B31" s="80" t="s">
        <v>157</v>
      </c>
      <c r="C31" s="18">
        <v>7</v>
      </c>
      <c r="D31" s="81">
        <v>0.56</v>
      </c>
      <c r="E31" s="157">
        <v>0.83</v>
      </c>
      <c r="F31" s="157">
        <v>0.04</v>
      </c>
      <c r="G31" s="157">
        <v>0.004</v>
      </c>
      <c r="H31" s="157">
        <v>0.0005</v>
      </c>
      <c r="I31" s="160">
        <v>0.00025</v>
      </c>
      <c r="J31" s="163">
        <f t="shared" si="2"/>
        <v>3.2536</v>
      </c>
      <c r="K31" s="163">
        <f t="shared" si="3"/>
        <v>0.15680000000000002</v>
      </c>
      <c r="L31" s="163">
        <f t="shared" si="4"/>
        <v>0.015680000000000003</v>
      </c>
      <c r="M31" s="163">
        <f t="shared" si="5"/>
        <v>0.0019600000000000004</v>
      </c>
      <c r="N31" s="179">
        <f t="shared" si="6"/>
        <v>0.0009800000000000002</v>
      </c>
    </row>
    <row r="32" spans="2:14" ht="12.75">
      <c r="B32" s="80" t="s">
        <v>322</v>
      </c>
      <c r="C32" s="18">
        <v>4</v>
      </c>
      <c r="D32" s="81">
        <v>0.55</v>
      </c>
      <c r="E32" s="157">
        <v>0.83</v>
      </c>
      <c r="F32" s="157">
        <v>0.043</v>
      </c>
      <c r="G32" s="157">
        <v>0.004</v>
      </c>
      <c r="H32" s="157">
        <v>0.0005</v>
      </c>
      <c r="I32" s="160">
        <v>0.00025</v>
      </c>
      <c r="J32" s="163">
        <f t="shared" si="2"/>
        <v>1.826</v>
      </c>
      <c r="K32" s="163">
        <f t="shared" si="3"/>
        <v>0.0946</v>
      </c>
      <c r="L32" s="163">
        <f t="shared" si="4"/>
        <v>0.0088</v>
      </c>
      <c r="M32" s="163">
        <f t="shared" si="5"/>
        <v>0.0011</v>
      </c>
      <c r="N32" s="179">
        <f t="shared" si="6"/>
        <v>0.00055</v>
      </c>
    </row>
    <row r="33" spans="2:14" ht="15">
      <c r="B33" s="80" t="s">
        <v>156</v>
      </c>
      <c r="C33" s="18" t="s">
        <v>73</v>
      </c>
      <c r="D33" s="18" t="s">
        <v>73</v>
      </c>
      <c r="E33" s="157">
        <v>0.3</v>
      </c>
      <c r="F33" s="157">
        <v>0.065</v>
      </c>
      <c r="G33" s="157">
        <v>0.87</v>
      </c>
      <c r="H33" s="157">
        <v>0.067</v>
      </c>
      <c r="I33" s="160">
        <v>0.05</v>
      </c>
      <c r="J33" s="163">
        <v>0.3</v>
      </c>
      <c r="K33" s="163">
        <v>0.065</v>
      </c>
      <c r="L33" s="178">
        <v>0.87</v>
      </c>
      <c r="M33" s="178">
        <v>0.067</v>
      </c>
      <c r="N33" s="179">
        <v>0.05</v>
      </c>
    </row>
    <row r="34" spans="2:14" ht="15">
      <c r="B34" s="80" t="s">
        <v>163</v>
      </c>
      <c r="C34" s="18" t="s">
        <v>73</v>
      </c>
      <c r="D34" s="18" t="s">
        <v>73</v>
      </c>
      <c r="E34" s="157">
        <v>13.41</v>
      </c>
      <c r="F34" s="157">
        <v>0.59</v>
      </c>
      <c r="G34" s="157">
        <v>0.362</v>
      </c>
      <c r="H34" s="157">
        <v>0.0185</v>
      </c>
      <c r="I34" s="160">
        <v>0.026</v>
      </c>
      <c r="J34" s="163">
        <v>13.41</v>
      </c>
      <c r="K34" s="163">
        <v>0.59</v>
      </c>
      <c r="L34" s="179">
        <v>0.362</v>
      </c>
      <c r="M34" s="179">
        <v>0.0185</v>
      </c>
      <c r="N34" s="179">
        <v>0.026</v>
      </c>
    </row>
    <row r="35" spans="2:14" ht="15">
      <c r="B35" s="80" t="s">
        <v>137</v>
      </c>
      <c r="C35" s="18" t="s">
        <v>73</v>
      </c>
      <c r="D35" s="18" t="s">
        <v>73</v>
      </c>
      <c r="E35" s="157">
        <v>0.675</v>
      </c>
      <c r="F35" s="157">
        <v>0.15</v>
      </c>
      <c r="G35" s="157">
        <v>1.7</v>
      </c>
      <c r="H35" s="157">
        <v>0.143</v>
      </c>
      <c r="I35" s="160">
        <v>0.14</v>
      </c>
      <c r="J35" s="163">
        <v>0.675</v>
      </c>
      <c r="K35" s="163">
        <v>0.15</v>
      </c>
      <c r="L35" s="179">
        <v>1.7</v>
      </c>
      <c r="M35" s="179">
        <v>0.143</v>
      </c>
      <c r="N35" s="179">
        <v>0.14</v>
      </c>
    </row>
    <row r="36" spans="2:14" ht="15">
      <c r="B36" s="80" t="s">
        <v>138</v>
      </c>
      <c r="C36" s="18" t="s">
        <v>73</v>
      </c>
      <c r="D36" s="18" t="s">
        <v>73</v>
      </c>
      <c r="E36" s="157">
        <v>0.675</v>
      </c>
      <c r="F36" s="157">
        <v>0.15</v>
      </c>
      <c r="G36" s="157">
        <v>1.7</v>
      </c>
      <c r="H36" s="157">
        <v>0.143</v>
      </c>
      <c r="I36" s="160">
        <v>0.14</v>
      </c>
      <c r="J36" s="163">
        <v>0.675</v>
      </c>
      <c r="K36" s="163">
        <v>0.15</v>
      </c>
      <c r="L36" s="179">
        <v>1.7</v>
      </c>
      <c r="M36" s="179">
        <v>0.143</v>
      </c>
      <c r="N36" s="179">
        <v>0.14</v>
      </c>
    </row>
    <row r="37" spans="2:14" ht="13.5" thickBot="1">
      <c r="B37" s="84" t="s">
        <v>323</v>
      </c>
      <c r="C37" s="164">
        <v>8</v>
      </c>
      <c r="D37" s="164">
        <v>0.49</v>
      </c>
      <c r="E37" s="161">
        <v>0.83</v>
      </c>
      <c r="F37" s="161">
        <v>0.043</v>
      </c>
      <c r="G37" s="161">
        <v>0.004</v>
      </c>
      <c r="H37" s="161">
        <v>0.0005</v>
      </c>
      <c r="I37" s="162">
        <v>0.00025</v>
      </c>
      <c r="J37" s="162">
        <f>+$C37*$D37*E37</f>
        <v>3.2535999999999996</v>
      </c>
      <c r="K37" s="162">
        <f>+$C37*$D37*F37</f>
        <v>0.16856</v>
      </c>
      <c r="L37" s="162">
        <f>+$C37*$D37*G37</f>
        <v>0.01568</v>
      </c>
      <c r="M37" s="162">
        <f>+$C37*$D37*H37</f>
        <v>0.00196</v>
      </c>
      <c r="N37" s="162">
        <f>+$C37*$D37*I37</f>
        <v>0.00098</v>
      </c>
    </row>
    <row r="38" spans="10:14" ht="12.75">
      <c r="J38" s="23"/>
      <c r="K38" s="23"/>
      <c r="L38" s="23"/>
      <c r="M38" s="23"/>
      <c r="N38" s="23"/>
    </row>
    <row r="39" spans="2:14" ht="12.75">
      <c r="B39" s="13" t="s">
        <v>133</v>
      </c>
      <c r="J39" s="23"/>
      <c r="K39" s="23"/>
      <c r="L39" s="23"/>
      <c r="M39" s="23"/>
      <c r="N39" s="23"/>
    </row>
    <row r="40" spans="2:14" ht="12.75">
      <c r="B40" s="13" t="s">
        <v>132</v>
      </c>
      <c r="J40" s="23"/>
      <c r="K40" s="23"/>
      <c r="L40" s="23"/>
      <c r="M40" s="23"/>
      <c r="N40" s="23"/>
    </row>
    <row r="41" spans="2:14" ht="12.75">
      <c r="B41" s="13" t="s">
        <v>131</v>
      </c>
      <c r="J41" s="23"/>
      <c r="K41" s="23"/>
      <c r="L41" s="23"/>
      <c r="M41" s="23"/>
      <c r="N41" s="23"/>
    </row>
    <row r="42" ht="12.75">
      <c r="B42" s="13" t="s">
        <v>134</v>
      </c>
    </row>
    <row r="43" ht="12.75">
      <c r="B43" s="13" t="s">
        <v>325</v>
      </c>
    </row>
    <row r="44" ht="12.75">
      <c r="N44" s="57"/>
    </row>
    <row r="45" ht="12.75">
      <c r="B45" s="13"/>
    </row>
  </sheetData>
  <sheetProtection/>
  <mergeCells count="2">
    <mergeCell ref="B2:N2"/>
    <mergeCell ref="A25:A26"/>
  </mergeCells>
  <conditionalFormatting sqref="M38:N41 J38:J41">
    <cfRule type="cellIs" priority="1" dxfId="0" operator="greaterThanOrEqual" stopIfTrue="1">
      <formula>$J$42</formula>
    </cfRule>
  </conditionalFormatting>
  <conditionalFormatting sqref="L38:L41">
    <cfRule type="cellIs" priority="2" dxfId="0" operator="greaterThanOrEqual" stopIfTrue="1">
      <formula>$L$42</formula>
    </cfRule>
  </conditionalFormatting>
  <conditionalFormatting sqref="K38:K41">
    <cfRule type="cellIs" priority="3" dxfId="0" operator="greaterThanOrEqual" stopIfTrue="1">
      <formula>$K$42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B-1
Construction Equipment Emission Factors for the Ultramar Alkylation Improvement Project 
</oddHeader>
    <oddFooter>&amp;L&amp;8N:\\2185\&amp;F:&amp;A&amp;R&amp;8&amp;D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O38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7109375" style="0" customWidth="1"/>
    <col min="16" max="16" width="11.00390625" style="0" customWidth="1"/>
    <col min="17" max="17" width="11.28125" style="0" customWidth="1"/>
  </cols>
  <sheetData>
    <row r="1" s="134" customFormat="1" ht="15">
      <c r="F1" s="106" t="s">
        <v>7</v>
      </c>
    </row>
    <row r="2" spans="2:14" s="134" customFormat="1" ht="15">
      <c r="B2" s="106"/>
      <c r="C2" s="135"/>
      <c r="F2" s="106" t="s">
        <v>207</v>
      </c>
      <c r="G2" s="135"/>
      <c r="H2" s="135"/>
      <c r="M2" s="135"/>
      <c r="N2" s="135"/>
    </row>
    <row r="3" spans="2:14" ht="15.75" thickBot="1">
      <c r="B3" s="106" t="s">
        <v>192</v>
      </c>
      <c r="C3" s="28"/>
      <c r="G3" s="28"/>
      <c r="H3" s="28"/>
      <c r="M3" s="28"/>
      <c r="N3" s="28"/>
    </row>
    <row r="4" spans="2:15" ht="12.75" customHeight="1" thickBot="1">
      <c r="B4" s="40"/>
      <c r="C4" s="29"/>
      <c r="D4" s="30"/>
      <c r="E4" s="30"/>
      <c r="F4" s="128"/>
      <c r="G4" s="29"/>
      <c r="H4" s="29"/>
      <c r="I4" s="30"/>
      <c r="J4" s="41"/>
      <c r="K4" s="319" t="s">
        <v>12</v>
      </c>
      <c r="L4" s="320"/>
      <c r="M4" s="315" t="s">
        <v>13</v>
      </c>
      <c r="N4" s="272"/>
      <c r="O4" s="58"/>
    </row>
    <row r="5" spans="2:15" ht="12.75" customHeight="1">
      <c r="B5" s="25"/>
      <c r="C5" s="31"/>
      <c r="D5" s="321" t="s">
        <v>8</v>
      </c>
      <c r="E5" s="20"/>
      <c r="F5" s="321" t="s">
        <v>9</v>
      </c>
      <c r="G5" s="31"/>
      <c r="H5" s="313" t="s">
        <v>10</v>
      </c>
      <c r="I5" s="313" t="s">
        <v>106</v>
      </c>
      <c r="J5" s="311" t="s">
        <v>11</v>
      </c>
      <c r="K5" s="308" t="s">
        <v>107</v>
      </c>
      <c r="L5" s="305" t="s">
        <v>105</v>
      </c>
      <c r="M5" s="308" t="s">
        <v>15</v>
      </c>
      <c r="N5" s="305" t="s">
        <v>105</v>
      </c>
      <c r="O5" s="300" t="s">
        <v>14</v>
      </c>
    </row>
    <row r="6" spans="2:15" ht="12.75" customHeight="1">
      <c r="B6" s="316" t="s">
        <v>16</v>
      </c>
      <c r="C6" s="34"/>
      <c r="D6" s="322"/>
      <c r="E6" s="27"/>
      <c r="F6" s="313"/>
      <c r="G6" s="34"/>
      <c r="H6" s="313"/>
      <c r="I6" s="313"/>
      <c r="J6" s="311"/>
      <c r="K6" s="309"/>
      <c r="L6" s="306"/>
      <c r="M6" s="309"/>
      <c r="N6" s="306"/>
      <c r="O6" s="300"/>
    </row>
    <row r="7" spans="2:15" ht="13.5" customHeight="1">
      <c r="B7" s="317"/>
      <c r="C7" s="34"/>
      <c r="D7" s="322"/>
      <c r="E7" s="27"/>
      <c r="F7" s="313"/>
      <c r="G7" s="34"/>
      <c r="H7" s="313"/>
      <c r="I7" s="313"/>
      <c r="J7" s="311"/>
      <c r="K7" s="309"/>
      <c r="L7" s="306"/>
      <c r="M7" s="309"/>
      <c r="N7" s="306"/>
      <c r="O7" s="300"/>
    </row>
    <row r="8" spans="2:15" ht="13.5" customHeight="1" thickBot="1">
      <c r="B8" s="318"/>
      <c r="C8" s="35"/>
      <c r="D8" s="303"/>
      <c r="E8" s="36"/>
      <c r="F8" s="314"/>
      <c r="G8" s="35"/>
      <c r="H8" s="314"/>
      <c r="I8" s="314"/>
      <c r="J8" s="312"/>
      <c r="K8" s="310"/>
      <c r="L8" s="307"/>
      <c r="M8" s="310"/>
      <c r="N8" s="307"/>
      <c r="O8" s="301"/>
    </row>
    <row r="9" spans="2:15" ht="15.75" thickBot="1">
      <c r="B9" s="37" t="s">
        <v>93</v>
      </c>
      <c r="C9" s="38"/>
      <c r="D9" s="39">
        <v>3</v>
      </c>
      <c r="E9" s="39"/>
      <c r="F9" s="39">
        <v>5</v>
      </c>
      <c r="G9" s="39"/>
      <c r="H9" s="39">
        <v>8</v>
      </c>
      <c r="I9" s="39">
        <v>7.7</v>
      </c>
      <c r="J9" s="39">
        <v>0.5</v>
      </c>
      <c r="K9" s="130">
        <f>+D9*H9*I9*J9</f>
        <v>92.4</v>
      </c>
      <c r="L9" s="131">
        <f>+F9*H9*I9*J9</f>
        <v>154</v>
      </c>
      <c r="M9" s="132">
        <f>+D9*H9*I9</f>
        <v>184.8</v>
      </c>
      <c r="N9" s="133">
        <f>+F9*H9*I9</f>
        <v>308</v>
      </c>
      <c r="O9" s="9" t="s">
        <v>18</v>
      </c>
    </row>
    <row r="10" ht="13.5" thickBot="1"/>
    <row r="11" spans="2:15" ht="13.5" customHeight="1" thickBot="1">
      <c r="B11" s="40" t="s">
        <v>19</v>
      </c>
      <c r="C11" s="30"/>
      <c r="D11" s="30"/>
      <c r="E11" s="30"/>
      <c r="F11" s="30"/>
      <c r="G11" s="30"/>
      <c r="H11" s="30"/>
      <c r="I11" s="30"/>
      <c r="J11" s="41"/>
      <c r="K11" s="256" t="s">
        <v>12</v>
      </c>
      <c r="L11" s="258"/>
      <c r="M11" s="256" t="s">
        <v>13</v>
      </c>
      <c r="N11" s="258"/>
      <c r="O11" s="299" t="s">
        <v>14</v>
      </c>
    </row>
    <row r="12" spans="2:15" ht="66" thickBot="1">
      <c r="B12" s="43" t="s">
        <v>20</v>
      </c>
      <c r="C12" s="20"/>
      <c r="D12" s="44"/>
      <c r="E12" s="44"/>
      <c r="F12" s="32" t="s">
        <v>21</v>
      </c>
      <c r="G12" s="44"/>
      <c r="H12" s="32" t="s">
        <v>22</v>
      </c>
      <c r="I12" s="32" t="s">
        <v>114</v>
      </c>
      <c r="J12" s="45" t="s">
        <v>11</v>
      </c>
      <c r="K12" s="112" t="s">
        <v>109</v>
      </c>
      <c r="L12" s="127" t="s">
        <v>110</v>
      </c>
      <c r="M12" s="46" t="s">
        <v>109</v>
      </c>
      <c r="N12" s="127" t="s">
        <v>108</v>
      </c>
      <c r="O12" s="301"/>
    </row>
    <row r="13" spans="2:15" ht="15.75" thickBot="1">
      <c r="B13" s="1" t="s">
        <v>94</v>
      </c>
      <c r="C13" s="2"/>
      <c r="D13" s="6"/>
      <c r="E13" s="2"/>
      <c r="F13" s="6">
        <v>10</v>
      </c>
      <c r="G13" s="2"/>
      <c r="H13" s="6">
        <v>50</v>
      </c>
      <c r="I13" s="6">
        <v>0.0035</v>
      </c>
      <c r="J13" s="5">
        <v>0.5</v>
      </c>
      <c r="K13" s="6">
        <f>+F13*I13*J13</f>
        <v>0.0175</v>
      </c>
      <c r="L13" s="136">
        <f>+H13*I13*J13</f>
        <v>0.08750000000000001</v>
      </c>
      <c r="M13" s="4">
        <f>+F13*I13</f>
        <v>0.035</v>
      </c>
      <c r="N13" s="114">
        <f>+H13*I13</f>
        <v>0.17500000000000002</v>
      </c>
      <c r="O13" s="9" t="s">
        <v>100</v>
      </c>
    </row>
    <row r="14" spans="2:15" ht="12.75">
      <c r="B14" s="43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7"/>
    </row>
    <row r="15" spans="2:15" ht="13.5" thickBot="1">
      <c r="B15" s="48" t="s">
        <v>25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ht="13.5" thickBot="1"/>
    <row r="17" spans="2:15" ht="66" thickBot="1">
      <c r="B17" s="51" t="s">
        <v>26</v>
      </c>
      <c r="C17" s="42"/>
      <c r="D17" s="53"/>
      <c r="E17" s="52"/>
      <c r="F17" s="53" t="s">
        <v>27</v>
      </c>
      <c r="G17" s="52"/>
      <c r="H17" s="53" t="s">
        <v>28</v>
      </c>
      <c r="I17" s="53" t="s">
        <v>29</v>
      </c>
      <c r="J17" s="14" t="s">
        <v>115</v>
      </c>
      <c r="K17" s="15" t="s">
        <v>109</v>
      </c>
      <c r="L17" s="127" t="s">
        <v>111</v>
      </c>
      <c r="M17" s="15" t="s">
        <v>112</v>
      </c>
      <c r="N17" s="127" t="s">
        <v>113</v>
      </c>
      <c r="O17" s="17" t="s">
        <v>14</v>
      </c>
    </row>
    <row r="18" spans="2:15" ht="13.5" thickBot="1">
      <c r="B18" s="1" t="s">
        <v>17</v>
      </c>
      <c r="C18" s="2"/>
      <c r="D18" s="6"/>
      <c r="E18" s="2"/>
      <c r="F18" s="6">
        <v>180</v>
      </c>
      <c r="G18" s="2"/>
      <c r="H18" s="6">
        <v>1</v>
      </c>
      <c r="I18" s="6">
        <v>3</v>
      </c>
      <c r="J18" s="54">
        <v>19.8</v>
      </c>
      <c r="K18" s="55">
        <f>+H18*J18</f>
        <v>19.8</v>
      </c>
      <c r="L18" s="138">
        <f>I18*J18</f>
        <v>59.400000000000006</v>
      </c>
      <c r="M18" s="55">
        <f>K18*F18/2000</f>
        <v>1.782</v>
      </c>
      <c r="N18" s="138">
        <f>L18*F18/2000</f>
        <v>5.346000000000001</v>
      </c>
      <c r="O18" s="3" t="s">
        <v>30</v>
      </c>
    </row>
    <row r="19" ht="30.75" thickBot="1">
      <c r="A19" s="196" t="s">
        <v>202</v>
      </c>
    </row>
    <row r="20" spans="2:15" ht="13.5" thickBot="1">
      <c r="B20" s="40" t="s">
        <v>97</v>
      </c>
      <c r="C20" s="30"/>
      <c r="D20" s="30"/>
      <c r="E20" s="30"/>
      <c r="F20" s="30"/>
      <c r="G20" s="30"/>
      <c r="H20" s="30"/>
      <c r="I20" s="30"/>
      <c r="J20" s="41"/>
      <c r="K20" s="256" t="s">
        <v>12</v>
      </c>
      <c r="L20" s="258"/>
      <c r="M20" s="256" t="s">
        <v>13</v>
      </c>
      <c r="N20" s="258"/>
      <c r="O20" s="299" t="s">
        <v>14</v>
      </c>
    </row>
    <row r="21" spans="2:15" ht="66" thickBot="1">
      <c r="B21" s="43" t="s">
        <v>5</v>
      </c>
      <c r="C21" s="20"/>
      <c r="D21" s="44"/>
      <c r="E21" s="44"/>
      <c r="F21" s="32" t="s">
        <v>98</v>
      </c>
      <c r="G21" s="44"/>
      <c r="H21" s="32" t="s">
        <v>22</v>
      </c>
      <c r="I21" s="32" t="s">
        <v>114</v>
      </c>
      <c r="J21" s="45" t="s">
        <v>11</v>
      </c>
      <c r="K21" s="112" t="s">
        <v>109</v>
      </c>
      <c r="L21" s="129" t="s">
        <v>110</v>
      </c>
      <c r="M21" s="46" t="s">
        <v>109</v>
      </c>
      <c r="N21" s="129" t="s">
        <v>110</v>
      </c>
      <c r="O21" s="300"/>
    </row>
    <row r="22" spans="2:15" ht="15">
      <c r="B22" s="40" t="s">
        <v>101</v>
      </c>
      <c r="C22" s="30"/>
      <c r="D22" s="104"/>
      <c r="E22" s="104"/>
      <c r="F22" s="62">
        <v>250</v>
      </c>
      <c r="G22" s="30"/>
      <c r="H22" s="62">
        <v>500</v>
      </c>
      <c r="I22" s="62">
        <v>0.02205</v>
      </c>
      <c r="J22" s="7">
        <v>0.5</v>
      </c>
      <c r="K22" s="62">
        <f>+F22*I22*J22</f>
        <v>2.75625</v>
      </c>
      <c r="L22" s="115">
        <f>+H22*I22*J22</f>
        <v>5.5125</v>
      </c>
      <c r="M22" s="108">
        <f>+F22*I22</f>
        <v>5.5125</v>
      </c>
      <c r="N22" s="139">
        <f>+H22*I22</f>
        <v>11.025</v>
      </c>
      <c r="O22" s="58" t="s">
        <v>23</v>
      </c>
    </row>
    <row r="23" spans="2:15" ht="13.5" thickBot="1">
      <c r="B23" s="48" t="s">
        <v>99</v>
      </c>
      <c r="C23" s="49"/>
      <c r="D23" s="98"/>
      <c r="E23" s="49"/>
      <c r="F23" s="98">
        <v>250</v>
      </c>
      <c r="G23" s="49"/>
      <c r="H23" s="98">
        <v>500</v>
      </c>
      <c r="I23" s="98">
        <v>0.009075</v>
      </c>
      <c r="J23" s="107">
        <v>0.5</v>
      </c>
      <c r="K23" s="98">
        <f>+F23*I23*J23</f>
        <v>1.134375</v>
      </c>
      <c r="L23" s="117">
        <f>+H23*I23*J23</f>
        <v>2.26875</v>
      </c>
      <c r="M23" s="103">
        <f>+F23*I23</f>
        <v>2.26875</v>
      </c>
      <c r="N23" s="140">
        <f>+H23*I23</f>
        <v>4.5375</v>
      </c>
      <c r="O23" s="141" t="s">
        <v>23</v>
      </c>
    </row>
    <row r="26" ht="13.5" thickBot="1"/>
    <row r="27" spans="3:10" ht="13.5" thickBot="1">
      <c r="C27" s="40" t="s">
        <v>116</v>
      </c>
      <c r="D27" s="30"/>
      <c r="E27" s="30"/>
      <c r="F27" s="30"/>
      <c r="G27" s="30"/>
      <c r="H27" s="30"/>
      <c r="I27" s="8" t="s">
        <v>31</v>
      </c>
      <c r="J27" s="7" t="s">
        <v>32</v>
      </c>
    </row>
    <row r="28" spans="3:10" ht="12.75">
      <c r="C28" s="43" t="s">
        <v>33</v>
      </c>
      <c r="D28" s="20"/>
      <c r="E28" s="20"/>
      <c r="F28" s="20"/>
      <c r="G28" s="20" t="s">
        <v>34</v>
      </c>
      <c r="H28" s="20"/>
      <c r="I28" s="110">
        <f>+K9+K13+K18+K22+K23</f>
        <v>116.108125</v>
      </c>
      <c r="J28" s="111">
        <f>+L9+L13+L18+K22+K23</f>
        <v>217.378125</v>
      </c>
    </row>
    <row r="29" spans="3:10" ht="12.75">
      <c r="C29" s="99" t="s">
        <v>35</v>
      </c>
      <c r="D29" s="21"/>
      <c r="E29" s="21"/>
      <c r="F29" s="21"/>
      <c r="G29" s="21"/>
      <c r="H29" s="21"/>
      <c r="I29" s="100">
        <f>+M9+M13+K18+M22+M23</f>
        <v>212.41625000000002</v>
      </c>
      <c r="J29" s="100">
        <f>+N9+N13+L18+N22+N23</f>
        <v>383.13750000000005</v>
      </c>
    </row>
    <row r="30" spans="3:10" ht="15.75" thickBot="1">
      <c r="C30" s="302" t="s">
        <v>328</v>
      </c>
      <c r="D30" s="303"/>
      <c r="E30" s="303"/>
      <c r="F30" s="303"/>
      <c r="G30" s="303"/>
      <c r="H30" s="304"/>
      <c r="I30" s="56">
        <f>+(M9+M13+K18+M22+M23)*0.34</f>
        <v>72.22152500000001</v>
      </c>
      <c r="J30" s="56">
        <f>+(N9+N13+L18+N22+N23)*0.34</f>
        <v>130.26675000000003</v>
      </c>
    </row>
    <row r="31" spans="3:10" ht="12.75">
      <c r="C31" s="101"/>
      <c r="D31" s="101"/>
      <c r="E31" s="101"/>
      <c r="F31" s="101"/>
      <c r="G31" s="101"/>
      <c r="H31" s="101"/>
      <c r="I31" s="102"/>
      <c r="J31" s="102"/>
    </row>
    <row r="32" spans="2:15" ht="12.75">
      <c r="B32" s="13"/>
      <c r="C32" s="13" t="s">
        <v>5</v>
      </c>
      <c r="O32" s="57"/>
    </row>
    <row r="34" s="109" customFormat="1" ht="12.75">
      <c r="B34" s="109" t="s">
        <v>104</v>
      </c>
    </row>
    <row r="35" s="109" customFormat="1" ht="12.75">
      <c r="B35" s="109" t="s">
        <v>120</v>
      </c>
    </row>
    <row r="36" spans="2:15" s="109" customFormat="1" ht="11.25">
      <c r="B36" s="137" t="s">
        <v>103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="109" customFormat="1" ht="11.25">
      <c r="B37" s="109" t="s">
        <v>102</v>
      </c>
    </row>
    <row r="38" spans="2:15" ht="12.75">
      <c r="B38" s="109" t="s">
        <v>327</v>
      </c>
      <c r="O38" s="57"/>
    </row>
  </sheetData>
  <sheetProtection/>
  <mergeCells count="20">
    <mergeCell ref="B6:B8"/>
    <mergeCell ref="K4:L4"/>
    <mergeCell ref="H5:H8"/>
    <mergeCell ref="F5:F8"/>
    <mergeCell ref="D5:D8"/>
    <mergeCell ref="J5:J8"/>
    <mergeCell ref="I5:I8"/>
    <mergeCell ref="K20:L20"/>
    <mergeCell ref="M20:N20"/>
    <mergeCell ref="M4:N4"/>
    <mergeCell ref="N5:N8"/>
    <mergeCell ref="M5:M8"/>
    <mergeCell ref="K5:K8"/>
    <mergeCell ref="L5:L8"/>
    <mergeCell ref="O5:O8"/>
    <mergeCell ref="K11:L11"/>
    <mergeCell ref="M11:N11"/>
    <mergeCell ref="O20:O21"/>
    <mergeCell ref="O11:O12"/>
    <mergeCell ref="C30:H30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&amp;C&amp;"Arial,Bold"&amp;12Table B-10</oddHeader>
    <oddFooter>&amp;L&amp;8N:\\2185\&amp;F:&amp;A&amp;R&amp;8&amp;D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"/>
  <dimension ref="A1:O38"/>
  <sheetViews>
    <sheetView zoomScalePageLayoutView="0" workbookViewId="0" topLeftCell="A10">
      <selection activeCell="A20" sqref="A20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7109375" style="0" customWidth="1"/>
    <col min="16" max="16" width="11.00390625" style="0" customWidth="1"/>
    <col min="17" max="17" width="11.28125" style="0" customWidth="1"/>
  </cols>
  <sheetData>
    <row r="1" s="134" customFormat="1" ht="15">
      <c r="F1" s="106" t="s">
        <v>7</v>
      </c>
    </row>
    <row r="2" spans="2:14" s="134" customFormat="1" ht="15">
      <c r="B2" s="106"/>
      <c r="C2" s="135"/>
      <c r="F2" s="106" t="s">
        <v>208</v>
      </c>
      <c r="G2" s="135"/>
      <c r="H2" s="135"/>
      <c r="M2" s="135"/>
      <c r="N2" s="135"/>
    </row>
    <row r="3" spans="2:14" ht="15.75" thickBot="1">
      <c r="B3" s="106" t="s">
        <v>192</v>
      </c>
      <c r="C3" s="28"/>
      <c r="G3" s="28"/>
      <c r="H3" s="28"/>
      <c r="M3" s="28"/>
      <c r="N3" s="28"/>
    </row>
    <row r="4" spans="2:15" ht="12.75" customHeight="1" thickBot="1">
      <c r="B4" s="40"/>
      <c r="C4" s="29"/>
      <c r="D4" s="30"/>
      <c r="E4" s="30"/>
      <c r="F4" s="128"/>
      <c r="G4" s="29"/>
      <c r="H4" s="29"/>
      <c r="I4" s="30"/>
      <c r="J4" s="41"/>
      <c r="K4" s="319" t="s">
        <v>12</v>
      </c>
      <c r="L4" s="320"/>
      <c r="M4" s="315" t="s">
        <v>13</v>
      </c>
      <c r="N4" s="272"/>
      <c r="O4" s="58"/>
    </row>
    <row r="5" spans="2:15" ht="12.75" customHeight="1">
      <c r="B5" s="25"/>
      <c r="C5" s="31"/>
      <c r="D5" s="321" t="s">
        <v>8</v>
      </c>
      <c r="E5" s="20"/>
      <c r="F5" s="321" t="s">
        <v>9</v>
      </c>
      <c r="G5" s="31"/>
      <c r="H5" s="313" t="s">
        <v>10</v>
      </c>
      <c r="I5" s="313" t="s">
        <v>106</v>
      </c>
      <c r="J5" s="311" t="s">
        <v>11</v>
      </c>
      <c r="K5" s="308" t="s">
        <v>107</v>
      </c>
      <c r="L5" s="305" t="s">
        <v>105</v>
      </c>
      <c r="M5" s="308" t="s">
        <v>15</v>
      </c>
      <c r="N5" s="305" t="s">
        <v>105</v>
      </c>
      <c r="O5" s="300" t="s">
        <v>14</v>
      </c>
    </row>
    <row r="6" spans="2:15" ht="12.75" customHeight="1">
      <c r="B6" s="316" t="s">
        <v>16</v>
      </c>
      <c r="C6" s="34"/>
      <c r="D6" s="322"/>
      <c r="E6" s="27"/>
      <c r="F6" s="313"/>
      <c r="G6" s="34"/>
      <c r="H6" s="313"/>
      <c r="I6" s="313"/>
      <c r="J6" s="311"/>
      <c r="K6" s="309"/>
      <c r="L6" s="306"/>
      <c r="M6" s="309"/>
      <c r="N6" s="306"/>
      <c r="O6" s="300"/>
    </row>
    <row r="7" spans="2:15" ht="13.5" customHeight="1">
      <c r="B7" s="317"/>
      <c r="C7" s="34"/>
      <c r="D7" s="322"/>
      <c r="E7" s="27"/>
      <c r="F7" s="313"/>
      <c r="G7" s="34"/>
      <c r="H7" s="313"/>
      <c r="I7" s="313"/>
      <c r="J7" s="311"/>
      <c r="K7" s="309"/>
      <c r="L7" s="306"/>
      <c r="M7" s="309"/>
      <c r="N7" s="306"/>
      <c r="O7" s="300"/>
    </row>
    <row r="8" spans="2:15" ht="13.5" customHeight="1" thickBot="1">
      <c r="B8" s="318"/>
      <c r="C8" s="35"/>
      <c r="D8" s="303"/>
      <c r="E8" s="36"/>
      <c r="F8" s="314"/>
      <c r="G8" s="35"/>
      <c r="H8" s="314"/>
      <c r="I8" s="314"/>
      <c r="J8" s="312"/>
      <c r="K8" s="310"/>
      <c r="L8" s="307"/>
      <c r="M8" s="310"/>
      <c r="N8" s="307"/>
      <c r="O8" s="301"/>
    </row>
    <row r="9" spans="2:15" ht="15.75" thickBot="1">
      <c r="B9" s="37" t="s">
        <v>93</v>
      </c>
      <c r="C9" s="38"/>
      <c r="D9" s="39">
        <v>3</v>
      </c>
      <c r="E9" s="39"/>
      <c r="F9" s="39">
        <v>5</v>
      </c>
      <c r="G9" s="39"/>
      <c r="H9" s="39">
        <v>8</v>
      </c>
      <c r="I9" s="39">
        <v>7.7</v>
      </c>
      <c r="J9" s="39">
        <v>0.5</v>
      </c>
      <c r="K9" s="130">
        <f>+D9*H9*I9*J9</f>
        <v>92.4</v>
      </c>
      <c r="L9" s="131">
        <f>+F9*H9*I9*J9</f>
        <v>154</v>
      </c>
      <c r="M9" s="132">
        <f>+D9*H9*I9</f>
        <v>184.8</v>
      </c>
      <c r="N9" s="133">
        <f>+F9*H9*I9</f>
        <v>308</v>
      </c>
      <c r="O9" s="9" t="s">
        <v>18</v>
      </c>
    </row>
    <row r="10" ht="13.5" thickBot="1"/>
    <row r="11" spans="2:15" ht="13.5" customHeight="1" thickBot="1">
      <c r="B11" s="40" t="s">
        <v>19</v>
      </c>
      <c r="C11" s="30"/>
      <c r="D11" s="30"/>
      <c r="E11" s="30"/>
      <c r="F11" s="30"/>
      <c r="G11" s="30"/>
      <c r="H11" s="30"/>
      <c r="I11" s="30"/>
      <c r="J11" s="41"/>
      <c r="K11" s="256" t="s">
        <v>12</v>
      </c>
      <c r="L11" s="258"/>
      <c r="M11" s="256" t="s">
        <v>13</v>
      </c>
      <c r="N11" s="258"/>
      <c r="O11" s="299" t="s">
        <v>14</v>
      </c>
    </row>
    <row r="12" spans="2:15" ht="66" thickBot="1">
      <c r="B12" s="43" t="s">
        <v>20</v>
      </c>
      <c r="C12" s="20"/>
      <c r="D12" s="44"/>
      <c r="E12" s="44"/>
      <c r="F12" s="32" t="s">
        <v>21</v>
      </c>
      <c r="G12" s="44"/>
      <c r="H12" s="32" t="s">
        <v>22</v>
      </c>
      <c r="I12" s="32" t="s">
        <v>114</v>
      </c>
      <c r="J12" s="45" t="s">
        <v>11</v>
      </c>
      <c r="K12" s="112" t="s">
        <v>109</v>
      </c>
      <c r="L12" s="127" t="s">
        <v>110</v>
      </c>
      <c r="M12" s="46" t="s">
        <v>109</v>
      </c>
      <c r="N12" s="127" t="s">
        <v>108</v>
      </c>
      <c r="O12" s="301"/>
    </row>
    <row r="13" spans="2:15" ht="15.75" thickBot="1">
      <c r="B13" s="1" t="s">
        <v>94</v>
      </c>
      <c r="C13" s="2"/>
      <c r="D13" s="6"/>
      <c r="E13" s="2"/>
      <c r="F13" s="6">
        <v>10</v>
      </c>
      <c r="G13" s="2"/>
      <c r="H13" s="6">
        <v>50</v>
      </c>
      <c r="I13" s="6">
        <v>0.0035</v>
      </c>
      <c r="J13" s="5">
        <v>0.5</v>
      </c>
      <c r="K13" s="6">
        <f>+F13*I13*J13</f>
        <v>0.0175</v>
      </c>
      <c r="L13" s="136">
        <f>+H13*I13*J13</f>
        <v>0.08750000000000001</v>
      </c>
      <c r="M13" s="4">
        <f>+F13*I13</f>
        <v>0.035</v>
      </c>
      <c r="N13" s="114">
        <f>+H13*I13</f>
        <v>0.17500000000000002</v>
      </c>
      <c r="O13" s="9" t="s">
        <v>100</v>
      </c>
    </row>
    <row r="14" spans="2:15" ht="12.75">
      <c r="B14" s="43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7"/>
    </row>
    <row r="15" spans="2:15" ht="13.5" thickBot="1">
      <c r="B15" s="48" t="s">
        <v>25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ht="13.5" thickBot="1"/>
    <row r="17" spans="2:15" ht="66" thickBot="1">
      <c r="B17" s="51" t="s">
        <v>26</v>
      </c>
      <c r="C17" s="42"/>
      <c r="D17" s="53"/>
      <c r="E17" s="52"/>
      <c r="F17" s="53" t="s">
        <v>27</v>
      </c>
      <c r="G17" s="52"/>
      <c r="H17" s="53" t="s">
        <v>28</v>
      </c>
      <c r="I17" s="53" t="s">
        <v>29</v>
      </c>
      <c r="J17" s="14" t="s">
        <v>115</v>
      </c>
      <c r="K17" s="15" t="s">
        <v>109</v>
      </c>
      <c r="L17" s="127" t="s">
        <v>111</v>
      </c>
      <c r="M17" s="15" t="s">
        <v>112</v>
      </c>
      <c r="N17" s="127" t="s">
        <v>113</v>
      </c>
      <c r="O17" s="17" t="s">
        <v>14</v>
      </c>
    </row>
    <row r="18" spans="2:15" ht="13.5" thickBot="1">
      <c r="B18" s="1" t="s">
        <v>17</v>
      </c>
      <c r="C18" s="2"/>
      <c r="D18" s="6"/>
      <c r="E18" s="2"/>
      <c r="F18" s="6">
        <v>180</v>
      </c>
      <c r="G18" s="2"/>
      <c r="H18" s="6">
        <v>1</v>
      </c>
      <c r="I18" s="6">
        <v>3</v>
      </c>
      <c r="J18" s="54">
        <v>19.8</v>
      </c>
      <c r="K18" s="55">
        <f>+H18*J18</f>
        <v>19.8</v>
      </c>
      <c r="L18" s="138">
        <f>I18*J18</f>
        <v>59.400000000000006</v>
      </c>
      <c r="M18" s="55">
        <f>K18*F18/2000</f>
        <v>1.782</v>
      </c>
      <c r="N18" s="138">
        <f>L18*F18/2000</f>
        <v>5.346000000000001</v>
      </c>
      <c r="O18" s="3" t="s">
        <v>30</v>
      </c>
    </row>
    <row r="19" ht="30.75" thickBot="1">
      <c r="A19" s="196" t="s">
        <v>203</v>
      </c>
    </row>
    <row r="20" spans="2:15" ht="13.5" thickBot="1">
      <c r="B20" s="40" t="s">
        <v>97</v>
      </c>
      <c r="C20" s="30"/>
      <c r="D20" s="30"/>
      <c r="E20" s="30"/>
      <c r="F20" s="30"/>
      <c r="G20" s="30"/>
      <c r="H20" s="30"/>
      <c r="I20" s="30"/>
      <c r="J20" s="41"/>
      <c r="K20" s="256" t="s">
        <v>12</v>
      </c>
      <c r="L20" s="258"/>
      <c r="M20" s="256" t="s">
        <v>13</v>
      </c>
      <c r="N20" s="258"/>
      <c r="O20" s="299" t="s">
        <v>14</v>
      </c>
    </row>
    <row r="21" spans="2:15" ht="66" thickBot="1">
      <c r="B21" s="43" t="s">
        <v>5</v>
      </c>
      <c r="C21" s="20"/>
      <c r="D21" s="44"/>
      <c r="E21" s="44"/>
      <c r="F21" s="32" t="s">
        <v>98</v>
      </c>
      <c r="G21" s="44"/>
      <c r="H21" s="32" t="s">
        <v>22</v>
      </c>
      <c r="I21" s="32" t="s">
        <v>114</v>
      </c>
      <c r="J21" s="45" t="s">
        <v>11</v>
      </c>
      <c r="K21" s="112" t="s">
        <v>109</v>
      </c>
      <c r="L21" s="129" t="s">
        <v>110</v>
      </c>
      <c r="M21" s="46" t="s">
        <v>109</v>
      </c>
      <c r="N21" s="129" t="s">
        <v>110</v>
      </c>
      <c r="O21" s="300"/>
    </row>
    <row r="22" spans="2:15" ht="15">
      <c r="B22" s="40" t="s">
        <v>101</v>
      </c>
      <c r="C22" s="30"/>
      <c r="D22" s="104"/>
      <c r="E22" s="104"/>
      <c r="F22" s="62">
        <v>250</v>
      </c>
      <c r="G22" s="30"/>
      <c r="H22" s="62">
        <v>500</v>
      </c>
      <c r="I22" s="62">
        <v>0.02205</v>
      </c>
      <c r="J22" s="7">
        <v>0.5</v>
      </c>
      <c r="K22" s="62">
        <f>+F22*I22*J22</f>
        <v>2.75625</v>
      </c>
      <c r="L22" s="115">
        <f>+H22*I22*J22</f>
        <v>5.5125</v>
      </c>
      <c r="M22" s="108">
        <f>+F22*I22</f>
        <v>5.5125</v>
      </c>
      <c r="N22" s="139">
        <f>+H22*I22</f>
        <v>11.025</v>
      </c>
      <c r="O22" s="58" t="s">
        <v>23</v>
      </c>
    </row>
    <row r="23" spans="2:15" ht="13.5" thickBot="1">
      <c r="B23" s="48" t="s">
        <v>99</v>
      </c>
      <c r="C23" s="49"/>
      <c r="D23" s="98"/>
      <c r="E23" s="49"/>
      <c r="F23" s="98">
        <v>250</v>
      </c>
      <c r="G23" s="49"/>
      <c r="H23" s="98">
        <v>500</v>
      </c>
      <c r="I23" s="98">
        <v>0.009075</v>
      </c>
      <c r="J23" s="107">
        <v>0.5</v>
      </c>
      <c r="K23" s="98">
        <f>+F23*I23*J23</f>
        <v>1.134375</v>
      </c>
      <c r="L23" s="117">
        <f>+H23*I23*J23</f>
        <v>2.26875</v>
      </c>
      <c r="M23" s="103">
        <f>+F23*I23</f>
        <v>2.26875</v>
      </c>
      <c r="N23" s="140">
        <f>+H23*I23</f>
        <v>4.5375</v>
      </c>
      <c r="O23" s="141" t="s">
        <v>23</v>
      </c>
    </row>
    <row r="26" ht="13.5" thickBot="1"/>
    <row r="27" spans="3:10" ht="13.5" thickBot="1">
      <c r="C27" s="40" t="s">
        <v>116</v>
      </c>
      <c r="D27" s="30"/>
      <c r="E27" s="30"/>
      <c r="F27" s="30"/>
      <c r="G27" s="30"/>
      <c r="H27" s="30"/>
      <c r="I27" s="8" t="s">
        <v>31</v>
      </c>
      <c r="J27" s="7" t="s">
        <v>32</v>
      </c>
    </row>
    <row r="28" spans="3:10" ht="12.75">
      <c r="C28" s="43" t="s">
        <v>33</v>
      </c>
      <c r="D28" s="20"/>
      <c r="E28" s="20"/>
      <c r="F28" s="20"/>
      <c r="G28" s="20" t="s">
        <v>34</v>
      </c>
      <c r="H28" s="20"/>
      <c r="I28" s="110">
        <f>+K9+K13+K18+K22+K23</f>
        <v>116.108125</v>
      </c>
      <c r="J28" s="111">
        <f>+L9+L13+L18+K22+K23</f>
        <v>217.378125</v>
      </c>
    </row>
    <row r="29" spans="3:10" ht="12.75">
      <c r="C29" s="99" t="s">
        <v>35</v>
      </c>
      <c r="D29" s="21"/>
      <c r="E29" s="21"/>
      <c r="F29" s="21"/>
      <c r="G29" s="21"/>
      <c r="H29" s="21"/>
      <c r="I29" s="100">
        <f>+M9+M13+K18+M22+M23</f>
        <v>212.41625000000002</v>
      </c>
      <c r="J29" s="100">
        <f>+N9+N13+L18+N22+N23</f>
        <v>383.13750000000005</v>
      </c>
    </row>
    <row r="30" spans="3:10" ht="15.75" thickBot="1">
      <c r="C30" s="302" t="s">
        <v>328</v>
      </c>
      <c r="D30" s="303"/>
      <c r="E30" s="303"/>
      <c r="F30" s="303"/>
      <c r="G30" s="303"/>
      <c r="H30" s="304"/>
      <c r="I30" s="56">
        <f>+(M9+M13+K18+M22+M23)*0.34</f>
        <v>72.22152500000001</v>
      </c>
      <c r="J30" s="56">
        <f>+(N9+N13+L18+N22+N23)*0.34</f>
        <v>130.26675000000003</v>
      </c>
    </row>
    <row r="31" spans="3:10" ht="12.75">
      <c r="C31" s="101"/>
      <c r="D31" s="101"/>
      <c r="E31" s="101"/>
      <c r="F31" s="101"/>
      <c r="G31" s="101"/>
      <c r="H31" s="101"/>
      <c r="I31" s="102"/>
      <c r="J31" s="102"/>
    </row>
    <row r="32" spans="2:15" ht="12.75">
      <c r="B32" s="13"/>
      <c r="C32" s="13" t="s">
        <v>5</v>
      </c>
      <c r="O32" s="57"/>
    </row>
    <row r="34" s="109" customFormat="1" ht="12.75">
      <c r="B34" s="109" t="s">
        <v>104</v>
      </c>
    </row>
    <row r="35" s="109" customFormat="1" ht="12.75">
      <c r="B35" s="109" t="s">
        <v>120</v>
      </c>
    </row>
    <row r="36" spans="2:15" s="109" customFormat="1" ht="11.25">
      <c r="B36" s="137" t="s">
        <v>103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="109" customFormat="1" ht="11.25">
      <c r="B37" s="109" t="s">
        <v>102</v>
      </c>
    </row>
    <row r="38" spans="2:15" ht="12.75">
      <c r="B38" s="109" t="s">
        <v>327</v>
      </c>
      <c r="O38" s="57"/>
    </row>
  </sheetData>
  <sheetProtection/>
  <mergeCells count="20">
    <mergeCell ref="M4:N4"/>
    <mergeCell ref="O5:O8"/>
    <mergeCell ref="J5:J8"/>
    <mergeCell ref="I5:I8"/>
    <mergeCell ref="K20:L20"/>
    <mergeCell ref="M20:N20"/>
    <mergeCell ref="K11:L11"/>
    <mergeCell ref="M11:N11"/>
    <mergeCell ref="O20:O21"/>
    <mergeCell ref="O11:O12"/>
    <mergeCell ref="C30:H30"/>
    <mergeCell ref="N5:N8"/>
    <mergeCell ref="M5:M8"/>
    <mergeCell ref="K5:K8"/>
    <mergeCell ref="L5:L8"/>
    <mergeCell ref="B6:B8"/>
    <mergeCell ref="K4:L4"/>
    <mergeCell ref="H5:H8"/>
    <mergeCell ref="F5:F8"/>
    <mergeCell ref="D5:D8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&amp;C&amp;"Arial,Bold"&amp;12Table B-11</oddHeader>
    <oddFooter>&amp;L&amp;8N:\\2185\&amp;F:&amp;A&amp;R&amp;8&amp;D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11"/>
  <dimension ref="A1:O38"/>
  <sheetViews>
    <sheetView zoomScalePageLayoutView="0" workbookViewId="0" topLeftCell="A10">
      <selection activeCell="A20" sqref="A20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1.7109375" style="0" customWidth="1"/>
    <col min="8" max="8" width="9.8515625" style="0" customWidth="1"/>
    <col min="10" max="11" width="11.00390625" style="0" customWidth="1"/>
    <col min="12" max="12" width="11.421875" style="0" customWidth="1"/>
    <col min="13" max="13" width="10.8515625" style="0" customWidth="1"/>
    <col min="14" max="14" width="10.57421875" style="0" customWidth="1"/>
    <col min="15" max="15" width="11.7109375" style="0" customWidth="1"/>
    <col min="16" max="16" width="11.00390625" style="0" customWidth="1"/>
    <col min="17" max="17" width="11.28125" style="0" customWidth="1"/>
  </cols>
  <sheetData>
    <row r="1" s="134" customFormat="1" ht="15">
      <c r="F1" s="106" t="s">
        <v>7</v>
      </c>
    </row>
    <row r="2" spans="2:14" s="134" customFormat="1" ht="15">
      <c r="B2" s="106"/>
      <c r="C2" s="135"/>
      <c r="F2" s="106" t="s">
        <v>209</v>
      </c>
      <c r="G2" s="135"/>
      <c r="H2" s="135"/>
      <c r="M2" s="135"/>
      <c r="N2" s="135"/>
    </row>
    <row r="3" spans="2:14" ht="15.75" thickBot="1">
      <c r="B3" s="106" t="s">
        <v>193</v>
      </c>
      <c r="C3" s="28"/>
      <c r="G3" s="28"/>
      <c r="H3" s="28"/>
      <c r="M3" s="28"/>
      <c r="N3" s="28"/>
    </row>
    <row r="4" spans="2:15" ht="12.75" customHeight="1" thickBot="1">
      <c r="B4" s="40"/>
      <c r="C4" s="29"/>
      <c r="D4" s="30"/>
      <c r="E4" s="30"/>
      <c r="F4" s="128"/>
      <c r="G4" s="29"/>
      <c r="H4" s="29"/>
      <c r="I4" s="30"/>
      <c r="J4" s="41"/>
      <c r="K4" s="319" t="s">
        <v>12</v>
      </c>
      <c r="L4" s="320"/>
      <c r="M4" s="315" t="s">
        <v>13</v>
      </c>
      <c r="N4" s="272"/>
      <c r="O4" s="58"/>
    </row>
    <row r="5" spans="2:15" ht="12.75" customHeight="1">
      <c r="B5" s="25"/>
      <c r="C5" s="31"/>
      <c r="D5" s="321" t="s">
        <v>8</v>
      </c>
      <c r="E5" s="20"/>
      <c r="F5" s="321" t="s">
        <v>9</v>
      </c>
      <c r="G5" s="31"/>
      <c r="H5" s="313" t="s">
        <v>10</v>
      </c>
      <c r="I5" s="313" t="s">
        <v>106</v>
      </c>
      <c r="J5" s="311" t="s">
        <v>11</v>
      </c>
      <c r="K5" s="308" t="s">
        <v>107</v>
      </c>
      <c r="L5" s="305" t="s">
        <v>105</v>
      </c>
      <c r="M5" s="308" t="s">
        <v>15</v>
      </c>
      <c r="N5" s="305" t="s">
        <v>105</v>
      </c>
      <c r="O5" s="300" t="s">
        <v>14</v>
      </c>
    </row>
    <row r="6" spans="2:15" ht="12.75" customHeight="1">
      <c r="B6" s="316" t="s">
        <v>16</v>
      </c>
      <c r="C6" s="34"/>
      <c r="D6" s="322"/>
      <c r="E6" s="27"/>
      <c r="F6" s="313"/>
      <c r="G6" s="34"/>
      <c r="H6" s="313"/>
      <c r="I6" s="313"/>
      <c r="J6" s="311"/>
      <c r="K6" s="309"/>
      <c r="L6" s="306"/>
      <c r="M6" s="309"/>
      <c r="N6" s="306"/>
      <c r="O6" s="300"/>
    </row>
    <row r="7" spans="2:15" ht="13.5" customHeight="1">
      <c r="B7" s="317"/>
      <c r="C7" s="34"/>
      <c r="D7" s="322"/>
      <c r="E7" s="27"/>
      <c r="F7" s="313"/>
      <c r="G7" s="34"/>
      <c r="H7" s="313"/>
      <c r="I7" s="313"/>
      <c r="J7" s="311"/>
      <c r="K7" s="309"/>
      <c r="L7" s="306"/>
      <c r="M7" s="309"/>
      <c r="N7" s="306"/>
      <c r="O7" s="300"/>
    </row>
    <row r="8" spans="2:15" ht="13.5" customHeight="1" thickBot="1">
      <c r="B8" s="318"/>
      <c r="C8" s="35"/>
      <c r="D8" s="303"/>
      <c r="E8" s="36"/>
      <c r="F8" s="314"/>
      <c r="G8" s="35"/>
      <c r="H8" s="314"/>
      <c r="I8" s="314"/>
      <c r="J8" s="312"/>
      <c r="K8" s="310"/>
      <c r="L8" s="307"/>
      <c r="M8" s="310"/>
      <c r="N8" s="307"/>
      <c r="O8" s="301"/>
    </row>
    <row r="9" spans="2:15" ht="15.75" thickBot="1">
      <c r="B9" s="37" t="s">
        <v>93</v>
      </c>
      <c r="C9" s="38"/>
      <c r="D9" s="39">
        <v>0</v>
      </c>
      <c r="E9" s="39"/>
      <c r="F9" s="39">
        <v>1</v>
      </c>
      <c r="G9" s="39"/>
      <c r="H9" s="39">
        <v>8</v>
      </c>
      <c r="I9" s="39">
        <v>7.7</v>
      </c>
      <c r="J9" s="39">
        <v>0.5</v>
      </c>
      <c r="K9" s="130">
        <f>+D9*H9*I9*J9</f>
        <v>0</v>
      </c>
      <c r="L9" s="131">
        <f>+F9*H9*I9*J9</f>
        <v>30.8</v>
      </c>
      <c r="M9" s="132">
        <f>+D9*H9*I9</f>
        <v>0</v>
      </c>
      <c r="N9" s="133">
        <f>+F9*H9*I9</f>
        <v>61.6</v>
      </c>
      <c r="O9" s="9" t="s">
        <v>18</v>
      </c>
    </row>
    <row r="10" ht="13.5" thickBot="1"/>
    <row r="11" spans="2:15" ht="13.5" customHeight="1" thickBot="1">
      <c r="B11" s="40" t="s">
        <v>19</v>
      </c>
      <c r="C11" s="30"/>
      <c r="D11" s="30"/>
      <c r="E11" s="30"/>
      <c r="F11" s="30"/>
      <c r="G11" s="30"/>
      <c r="H11" s="30"/>
      <c r="I11" s="30"/>
      <c r="J11" s="41"/>
      <c r="K11" s="256" t="s">
        <v>12</v>
      </c>
      <c r="L11" s="258"/>
      <c r="M11" s="256" t="s">
        <v>13</v>
      </c>
      <c r="N11" s="258"/>
      <c r="O11" s="299" t="s">
        <v>14</v>
      </c>
    </row>
    <row r="12" spans="2:15" ht="66" thickBot="1">
      <c r="B12" s="43" t="s">
        <v>20</v>
      </c>
      <c r="C12" s="20"/>
      <c r="D12" s="44"/>
      <c r="E12" s="44"/>
      <c r="F12" s="32" t="s">
        <v>21</v>
      </c>
      <c r="G12" s="44"/>
      <c r="H12" s="32" t="s">
        <v>22</v>
      </c>
      <c r="I12" s="32" t="s">
        <v>114</v>
      </c>
      <c r="J12" s="45" t="s">
        <v>11</v>
      </c>
      <c r="K12" s="112" t="s">
        <v>109</v>
      </c>
      <c r="L12" s="127" t="s">
        <v>110</v>
      </c>
      <c r="M12" s="46" t="s">
        <v>109</v>
      </c>
      <c r="N12" s="127" t="s">
        <v>108</v>
      </c>
      <c r="O12" s="301"/>
    </row>
    <row r="13" spans="2:15" ht="15.75" thickBot="1">
      <c r="B13" s="1" t="s">
        <v>94</v>
      </c>
      <c r="C13" s="2"/>
      <c r="D13" s="6"/>
      <c r="E13" s="2"/>
      <c r="F13" s="6">
        <v>0</v>
      </c>
      <c r="G13" s="2"/>
      <c r="H13" s="6">
        <v>1</v>
      </c>
      <c r="I13" s="6">
        <v>0.0035</v>
      </c>
      <c r="J13" s="5">
        <v>0.5</v>
      </c>
      <c r="K13" s="6">
        <f>+F13*I13*J13</f>
        <v>0</v>
      </c>
      <c r="L13" s="136">
        <f>+H13*I13*J13</f>
        <v>0.00175</v>
      </c>
      <c r="M13" s="4">
        <f>+F13*I13</f>
        <v>0</v>
      </c>
      <c r="N13" s="114">
        <f>+H13*I13</f>
        <v>0.0035</v>
      </c>
      <c r="O13" s="9" t="s">
        <v>100</v>
      </c>
    </row>
    <row r="14" spans="2:15" ht="12.75">
      <c r="B14" s="43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47"/>
    </row>
    <row r="15" spans="2:15" ht="13.5" thickBot="1">
      <c r="B15" s="48" t="s">
        <v>25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</row>
    <row r="16" ht="13.5" thickBot="1"/>
    <row r="17" spans="2:15" ht="66" thickBot="1">
      <c r="B17" s="51" t="s">
        <v>26</v>
      </c>
      <c r="C17" s="42"/>
      <c r="D17" s="53"/>
      <c r="E17" s="52"/>
      <c r="F17" s="53" t="s">
        <v>27</v>
      </c>
      <c r="G17" s="52"/>
      <c r="H17" s="53" t="s">
        <v>28</v>
      </c>
      <c r="I17" s="53" t="s">
        <v>29</v>
      </c>
      <c r="J17" s="14" t="s">
        <v>115</v>
      </c>
      <c r="K17" s="15" t="s">
        <v>109</v>
      </c>
      <c r="L17" s="127" t="s">
        <v>111</v>
      </c>
      <c r="M17" s="15" t="s">
        <v>112</v>
      </c>
      <c r="N17" s="127" t="s">
        <v>113</v>
      </c>
      <c r="O17" s="17" t="s">
        <v>14</v>
      </c>
    </row>
    <row r="18" spans="2:15" ht="13.5" thickBot="1">
      <c r="B18" s="1" t="s">
        <v>17</v>
      </c>
      <c r="C18" s="2"/>
      <c r="D18" s="6"/>
      <c r="E18" s="2"/>
      <c r="F18" s="6">
        <v>90</v>
      </c>
      <c r="G18" s="2"/>
      <c r="H18" s="6">
        <v>0</v>
      </c>
      <c r="I18" s="6">
        <v>0.5</v>
      </c>
      <c r="J18" s="54">
        <v>19.8</v>
      </c>
      <c r="K18" s="55">
        <f>+H18*J18</f>
        <v>0</v>
      </c>
      <c r="L18" s="138">
        <f>I18*J18</f>
        <v>9.9</v>
      </c>
      <c r="M18" s="55">
        <f>K18*F18/2000</f>
        <v>0</v>
      </c>
      <c r="N18" s="138">
        <f>L18*F18/2000</f>
        <v>0.4455</v>
      </c>
      <c r="O18" s="3" t="s">
        <v>30</v>
      </c>
    </row>
    <row r="19" ht="30.75" thickBot="1">
      <c r="A19" s="196" t="s">
        <v>204</v>
      </c>
    </row>
    <row r="20" spans="2:15" ht="13.5" thickBot="1">
      <c r="B20" s="40" t="s">
        <v>97</v>
      </c>
      <c r="C20" s="30"/>
      <c r="D20" s="30"/>
      <c r="E20" s="30"/>
      <c r="F20" s="30"/>
      <c r="G20" s="30"/>
      <c r="H20" s="30"/>
      <c r="I20" s="30"/>
      <c r="J20" s="41"/>
      <c r="K20" s="256" t="s">
        <v>12</v>
      </c>
      <c r="L20" s="258"/>
      <c r="M20" s="256" t="s">
        <v>13</v>
      </c>
      <c r="N20" s="258"/>
      <c r="O20" s="299" t="s">
        <v>14</v>
      </c>
    </row>
    <row r="21" spans="2:15" ht="66" thickBot="1">
      <c r="B21" s="43" t="s">
        <v>5</v>
      </c>
      <c r="C21" s="20"/>
      <c r="D21" s="44"/>
      <c r="E21" s="44"/>
      <c r="F21" s="32" t="s">
        <v>98</v>
      </c>
      <c r="G21" s="44"/>
      <c r="H21" s="32" t="s">
        <v>22</v>
      </c>
      <c r="I21" s="32" t="s">
        <v>114</v>
      </c>
      <c r="J21" s="45" t="s">
        <v>11</v>
      </c>
      <c r="K21" s="112" t="s">
        <v>109</v>
      </c>
      <c r="L21" s="129" t="s">
        <v>110</v>
      </c>
      <c r="M21" s="46" t="s">
        <v>109</v>
      </c>
      <c r="N21" s="129" t="s">
        <v>110</v>
      </c>
      <c r="O21" s="300"/>
    </row>
    <row r="22" spans="2:15" ht="15">
      <c r="B22" s="40" t="s">
        <v>101</v>
      </c>
      <c r="C22" s="30"/>
      <c r="D22" s="104"/>
      <c r="E22" s="104"/>
      <c r="F22" s="62">
        <v>0</v>
      </c>
      <c r="G22" s="30"/>
      <c r="H22" s="62">
        <v>10</v>
      </c>
      <c r="I22" s="62">
        <v>0.02205</v>
      </c>
      <c r="J22" s="7">
        <v>0.5</v>
      </c>
      <c r="K22" s="62">
        <f>+F22*I22*J22</f>
        <v>0</v>
      </c>
      <c r="L22" s="115">
        <f>+H22*I22*J22</f>
        <v>0.11025</v>
      </c>
      <c r="M22" s="108">
        <f>+F22*I22</f>
        <v>0</v>
      </c>
      <c r="N22" s="139">
        <f>+H22*I22</f>
        <v>0.2205</v>
      </c>
      <c r="O22" s="58" t="s">
        <v>23</v>
      </c>
    </row>
    <row r="23" spans="2:15" ht="13.5" thickBot="1">
      <c r="B23" s="48" t="s">
        <v>99</v>
      </c>
      <c r="C23" s="49"/>
      <c r="D23" s="98"/>
      <c r="E23" s="49"/>
      <c r="F23" s="98">
        <v>0</v>
      </c>
      <c r="G23" s="49"/>
      <c r="H23" s="98">
        <v>10</v>
      </c>
      <c r="I23" s="98">
        <v>0.009075</v>
      </c>
      <c r="J23" s="107">
        <v>0.5</v>
      </c>
      <c r="K23" s="98">
        <f>+F23*I23*J23</f>
        <v>0</v>
      </c>
      <c r="L23" s="117">
        <f>+H23*I23*J23</f>
        <v>0.045375</v>
      </c>
      <c r="M23" s="103">
        <f>+F23*I23</f>
        <v>0</v>
      </c>
      <c r="N23" s="140">
        <f>+H23*I23</f>
        <v>0.09075</v>
      </c>
      <c r="O23" s="141" t="s">
        <v>23</v>
      </c>
    </row>
    <row r="26" ht="13.5" thickBot="1"/>
    <row r="27" spans="3:10" ht="13.5" thickBot="1">
      <c r="C27" s="40" t="s">
        <v>116</v>
      </c>
      <c r="D27" s="30"/>
      <c r="E27" s="30"/>
      <c r="F27" s="30"/>
      <c r="G27" s="30"/>
      <c r="H27" s="30"/>
      <c r="I27" s="8" t="s">
        <v>31</v>
      </c>
      <c r="J27" s="7" t="s">
        <v>32</v>
      </c>
    </row>
    <row r="28" spans="3:10" ht="12.75">
      <c r="C28" s="43" t="s">
        <v>33</v>
      </c>
      <c r="D28" s="20"/>
      <c r="E28" s="20"/>
      <c r="F28" s="20"/>
      <c r="G28" s="20" t="s">
        <v>34</v>
      </c>
      <c r="H28" s="20"/>
      <c r="I28" s="110">
        <f>+K9+K13+K18+K22+K23</f>
        <v>0</v>
      </c>
      <c r="J28" s="111">
        <f>+L9+L13+L18+K22+K23</f>
        <v>40.701750000000004</v>
      </c>
    </row>
    <row r="29" spans="3:10" ht="12.75">
      <c r="C29" s="99" t="s">
        <v>35</v>
      </c>
      <c r="D29" s="21"/>
      <c r="E29" s="21"/>
      <c r="F29" s="21"/>
      <c r="G29" s="21"/>
      <c r="H29" s="21"/>
      <c r="I29" s="100">
        <f>+M9+M13+K18+M22+M23</f>
        <v>0</v>
      </c>
      <c r="J29" s="100">
        <f>+N9+N13+L18+N22+N23</f>
        <v>71.81475</v>
      </c>
    </row>
    <row r="30" spans="3:10" ht="15.75" thickBot="1">
      <c r="C30" s="302" t="s">
        <v>328</v>
      </c>
      <c r="D30" s="303"/>
      <c r="E30" s="303"/>
      <c r="F30" s="303"/>
      <c r="G30" s="303"/>
      <c r="H30" s="304"/>
      <c r="I30" s="56">
        <f>+(M9+M13+K18+M22+M23)*0.34</f>
        <v>0</v>
      </c>
      <c r="J30" s="56">
        <f>+(N9+N13+L18+N22+N23)*0.34</f>
        <v>24.417015000000003</v>
      </c>
    </row>
    <row r="31" spans="3:10" ht="12.75">
      <c r="C31" s="101"/>
      <c r="D31" s="101"/>
      <c r="E31" s="101"/>
      <c r="F31" s="101"/>
      <c r="G31" s="101"/>
      <c r="H31" s="101"/>
      <c r="I31" s="102"/>
      <c r="J31" s="102"/>
    </row>
    <row r="32" spans="2:15" ht="12.75">
      <c r="B32" s="13"/>
      <c r="C32" s="13" t="s">
        <v>5</v>
      </c>
      <c r="O32" s="57"/>
    </row>
    <row r="34" s="109" customFormat="1" ht="12.75">
      <c r="B34" s="109" t="s">
        <v>104</v>
      </c>
    </row>
    <row r="35" s="109" customFormat="1" ht="12.75">
      <c r="B35" s="109" t="s">
        <v>120</v>
      </c>
    </row>
    <row r="36" spans="2:15" s="109" customFormat="1" ht="11.25">
      <c r="B36" s="137" t="s">
        <v>103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</row>
    <row r="37" s="109" customFormat="1" ht="11.25">
      <c r="B37" s="109" t="s">
        <v>102</v>
      </c>
    </row>
    <row r="38" spans="2:15" ht="12.75">
      <c r="B38" s="109" t="s">
        <v>327</v>
      </c>
      <c r="O38" s="57"/>
    </row>
  </sheetData>
  <sheetProtection/>
  <mergeCells count="20">
    <mergeCell ref="B6:B8"/>
    <mergeCell ref="K4:L4"/>
    <mergeCell ref="H5:H8"/>
    <mergeCell ref="F5:F8"/>
    <mergeCell ref="D5:D8"/>
    <mergeCell ref="J5:J8"/>
    <mergeCell ref="I5:I8"/>
    <mergeCell ref="K20:L20"/>
    <mergeCell ref="M20:N20"/>
    <mergeCell ref="M4:N4"/>
    <mergeCell ref="N5:N8"/>
    <mergeCell ref="M5:M8"/>
    <mergeCell ref="K5:K8"/>
    <mergeCell ref="L5:L8"/>
    <mergeCell ref="O5:O8"/>
    <mergeCell ref="K11:L11"/>
    <mergeCell ref="M11:N11"/>
    <mergeCell ref="O20:O21"/>
    <mergeCell ref="O11:O12"/>
    <mergeCell ref="C30:H30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&amp;C&amp;"Arial,Bold"&amp;12Table B-12</oddHeader>
    <oddFooter>&amp;L&amp;8N:\\2185\&amp;F:&amp;A&amp;R&amp;8&amp;D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K32"/>
  <sheetViews>
    <sheetView zoomScalePageLayoutView="0" workbookViewId="0" topLeftCell="A1">
      <selection activeCell="A17" sqref="A17"/>
    </sheetView>
  </sheetViews>
  <sheetFormatPr defaultColWidth="9.140625" defaultRowHeight="12.75"/>
  <cols>
    <col min="3" max="3" width="15.421875" style="0" customWidth="1"/>
    <col min="12" max="12" width="8.421875" style="0" customWidth="1"/>
  </cols>
  <sheetData>
    <row r="1" spans="1:11" ht="17.25">
      <c r="A1" s="324" t="s">
        <v>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7.25">
      <c r="B2" s="324" t="s">
        <v>172</v>
      </c>
      <c r="C2" s="324"/>
      <c r="D2" s="324"/>
      <c r="E2" s="324"/>
      <c r="F2" s="324"/>
      <c r="G2" s="324"/>
      <c r="H2" s="324"/>
      <c r="I2" s="324"/>
      <c r="J2" s="324"/>
      <c r="K2" s="324"/>
    </row>
    <row r="3" ht="13.5" thickBot="1"/>
    <row r="4" spans="2:11" ht="46.5" customHeight="1" thickBot="1">
      <c r="B4" s="256" t="s">
        <v>37</v>
      </c>
      <c r="C4" s="257"/>
      <c r="D4" s="2"/>
      <c r="E4" s="5" t="s">
        <v>38</v>
      </c>
      <c r="F4" s="6"/>
      <c r="G4" s="6" t="s">
        <v>39</v>
      </c>
      <c r="H4" s="53" t="s">
        <v>40</v>
      </c>
      <c r="I4" s="53" t="s">
        <v>41</v>
      </c>
      <c r="J4" s="52" t="s">
        <v>42</v>
      </c>
      <c r="K4" s="33" t="s">
        <v>43</v>
      </c>
    </row>
    <row r="5" spans="2:11" ht="12.75">
      <c r="B5" s="40"/>
      <c r="C5" s="20"/>
      <c r="D5" s="20"/>
      <c r="E5" s="47"/>
      <c r="F5" s="20"/>
      <c r="G5" s="20"/>
      <c r="H5" s="20"/>
      <c r="I5" s="20"/>
      <c r="J5" s="20"/>
      <c r="K5" s="58"/>
    </row>
    <row r="6" spans="2:11" ht="12.75">
      <c r="B6" s="43" t="s">
        <v>44</v>
      </c>
      <c r="C6" s="20"/>
      <c r="D6" s="20"/>
      <c r="E6" s="47"/>
      <c r="F6" s="20"/>
      <c r="G6" s="20"/>
      <c r="H6" s="20"/>
      <c r="I6" s="20"/>
      <c r="J6" s="20"/>
      <c r="K6" s="59"/>
    </row>
    <row r="7" spans="2:11" ht="12.75">
      <c r="B7" s="43" t="s">
        <v>45</v>
      </c>
      <c r="C7" s="20"/>
      <c r="E7" s="60">
        <v>118</v>
      </c>
      <c r="F7" s="26"/>
      <c r="G7" s="26" t="s">
        <v>46</v>
      </c>
      <c r="H7" s="26">
        <v>2</v>
      </c>
      <c r="I7" s="26">
        <v>16.2</v>
      </c>
      <c r="J7" s="20">
        <f>0.000856-0.00047</f>
        <v>0.000386</v>
      </c>
      <c r="K7" s="97">
        <f>E7*H7*I7*J7</f>
        <v>1.4757552</v>
      </c>
    </row>
    <row r="8" spans="2:11" ht="12.75">
      <c r="B8" s="43" t="s">
        <v>5</v>
      </c>
      <c r="C8" s="20"/>
      <c r="D8" s="20"/>
      <c r="E8" s="47"/>
      <c r="F8" s="20"/>
      <c r="G8" s="20"/>
      <c r="H8" s="20"/>
      <c r="I8" s="20"/>
      <c r="J8" s="20"/>
      <c r="K8" s="105"/>
    </row>
    <row r="9" spans="2:11" ht="12.75">
      <c r="B9" s="43" t="s">
        <v>175</v>
      </c>
      <c r="C9" s="20"/>
      <c r="D9" s="20"/>
      <c r="E9" s="60">
        <v>1</v>
      </c>
      <c r="F9" s="20"/>
      <c r="G9" s="26" t="s">
        <v>46</v>
      </c>
      <c r="H9" s="26">
        <v>1</v>
      </c>
      <c r="I9" s="26">
        <v>10</v>
      </c>
      <c r="J9" s="20">
        <f>0.000856-0.00047</f>
        <v>0.000386</v>
      </c>
      <c r="K9" s="97">
        <f>E9*H9*I9*J9</f>
        <v>0.00386</v>
      </c>
    </row>
    <row r="10" spans="2:11" ht="12.75">
      <c r="B10" s="43"/>
      <c r="C10" s="20"/>
      <c r="D10" s="20"/>
      <c r="E10" s="47"/>
      <c r="F10" s="20"/>
      <c r="G10" s="20"/>
      <c r="H10" s="20"/>
      <c r="I10" s="20"/>
      <c r="J10" s="20"/>
      <c r="K10" s="105"/>
    </row>
    <row r="11" spans="2:11" ht="12.75">
      <c r="B11" s="43" t="s">
        <v>176</v>
      </c>
      <c r="C11" s="20"/>
      <c r="D11" s="20"/>
      <c r="E11" s="60">
        <v>6</v>
      </c>
      <c r="F11" s="26"/>
      <c r="G11" s="26" t="s">
        <v>46</v>
      </c>
      <c r="H11" s="26">
        <v>2</v>
      </c>
      <c r="I11" s="26">
        <v>16.2</v>
      </c>
      <c r="J11" s="20">
        <f>0.0026-0.00047</f>
        <v>0.00213</v>
      </c>
      <c r="K11" s="97">
        <f>E11*H11*I11*J11</f>
        <v>0.41407199999999994</v>
      </c>
    </row>
    <row r="12" spans="2:11" ht="12.75">
      <c r="B12" s="43" t="s">
        <v>5</v>
      </c>
      <c r="C12" s="20"/>
      <c r="D12" s="20"/>
      <c r="E12" s="47"/>
      <c r="F12" s="20"/>
      <c r="G12" s="20"/>
      <c r="H12" s="20"/>
      <c r="I12" s="20"/>
      <c r="J12" s="20"/>
      <c r="K12" s="105"/>
    </row>
    <row r="13" spans="2:11" ht="12.75">
      <c r="B13" s="43" t="s">
        <v>152</v>
      </c>
      <c r="C13" s="20"/>
      <c r="D13" s="20"/>
      <c r="E13" s="60">
        <v>1</v>
      </c>
      <c r="F13" s="20"/>
      <c r="G13" s="26" t="s">
        <v>48</v>
      </c>
      <c r="H13" s="26">
        <v>2</v>
      </c>
      <c r="I13" s="26">
        <v>1.5</v>
      </c>
      <c r="J13" s="20">
        <f>0.0206-0.00047</f>
        <v>0.02013</v>
      </c>
      <c r="K13" s="97">
        <f>E13*H13*I13*J13</f>
        <v>0.06039</v>
      </c>
    </row>
    <row r="14" spans="1:11" ht="12.75">
      <c r="A14" s="323" t="s">
        <v>205</v>
      </c>
      <c r="B14" s="43"/>
      <c r="C14" s="20"/>
      <c r="D14" s="20"/>
      <c r="E14" s="47"/>
      <c r="F14" s="20"/>
      <c r="G14" s="20"/>
      <c r="H14" s="20"/>
      <c r="I14" s="20"/>
      <c r="J14" s="20"/>
      <c r="K14" s="105"/>
    </row>
    <row r="15" spans="1:11" ht="12.75">
      <c r="A15" s="323"/>
      <c r="B15" s="43" t="s">
        <v>47</v>
      </c>
      <c r="C15" s="20"/>
      <c r="D15" s="20"/>
      <c r="E15" s="60">
        <v>10</v>
      </c>
      <c r="F15" s="26"/>
      <c r="G15" s="26" t="s">
        <v>48</v>
      </c>
      <c r="H15" s="26">
        <v>2</v>
      </c>
      <c r="I15" s="26">
        <v>50</v>
      </c>
      <c r="J15" s="20">
        <f>0.0206-0.00047</f>
        <v>0.02013</v>
      </c>
      <c r="K15" s="97">
        <f>E15*H15*I15*J15</f>
        <v>20.13</v>
      </c>
    </row>
    <row r="16" spans="1:11" ht="12.75">
      <c r="A16" s="323"/>
      <c r="B16" s="43" t="s">
        <v>5</v>
      </c>
      <c r="C16" s="20"/>
      <c r="D16" s="20"/>
      <c r="E16" s="47"/>
      <c r="F16" s="20"/>
      <c r="G16" s="20"/>
      <c r="H16" s="20"/>
      <c r="I16" s="20"/>
      <c r="J16" s="20"/>
      <c r="K16" s="105"/>
    </row>
    <row r="17" spans="2:11" ht="13.5" thickBot="1">
      <c r="B17" s="43" t="s">
        <v>49</v>
      </c>
      <c r="C17" s="20"/>
      <c r="D17" s="20"/>
      <c r="E17" s="60">
        <v>1</v>
      </c>
      <c r="F17" s="26"/>
      <c r="G17" s="26" t="s">
        <v>48</v>
      </c>
      <c r="H17" s="26">
        <v>1</v>
      </c>
      <c r="I17" s="26">
        <v>4</v>
      </c>
      <c r="J17" s="20">
        <v>2.5826</v>
      </c>
      <c r="K17" s="97">
        <f>E17*H17*I17*J17</f>
        <v>10.3304</v>
      </c>
    </row>
    <row r="18" spans="2:11" ht="18.75" customHeight="1" thickBot="1">
      <c r="B18" s="1" t="s">
        <v>4</v>
      </c>
      <c r="C18" s="2"/>
      <c r="D18" s="2"/>
      <c r="E18" s="5">
        <f>SUM(E7:E17)</f>
        <v>137</v>
      </c>
      <c r="F18" s="2"/>
      <c r="G18" s="2"/>
      <c r="H18" s="2"/>
      <c r="I18" s="2"/>
      <c r="J18" s="2"/>
      <c r="K18" s="65">
        <f>SUM(K7:K17)</f>
        <v>32.4144772</v>
      </c>
    </row>
    <row r="20" ht="12.75">
      <c r="B20" s="13" t="s">
        <v>329</v>
      </c>
    </row>
    <row r="21" spans="2:3" ht="12.75">
      <c r="B21" s="13" t="s">
        <v>220</v>
      </c>
      <c r="C21" s="13"/>
    </row>
    <row r="22" spans="2:3" ht="12.75">
      <c r="B22" s="13" t="s">
        <v>95</v>
      </c>
      <c r="C22" s="13"/>
    </row>
    <row r="23" spans="2:3" ht="12.75">
      <c r="B23" s="13" t="s">
        <v>96</v>
      </c>
      <c r="C23" s="13"/>
    </row>
    <row r="24" spans="2:3" ht="12.75">
      <c r="B24" s="13" t="s">
        <v>221</v>
      </c>
      <c r="C24" s="13"/>
    </row>
    <row r="25" spans="2:3" ht="12.75">
      <c r="B25" s="13"/>
      <c r="C25" s="13"/>
    </row>
    <row r="26" spans="2:3" ht="12.75">
      <c r="B26" s="13" t="s">
        <v>330</v>
      </c>
      <c r="C26" s="13"/>
    </row>
    <row r="27" spans="2:3" ht="12.75">
      <c r="B27" s="13" t="s">
        <v>331</v>
      </c>
      <c r="C27" s="13"/>
    </row>
    <row r="28" ht="12.75">
      <c r="B28" s="13" t="s">
        <v>332</v>
      </c>
    </row>
    <row r="29" ht="12.75">
      <c r="B29" s="13"/>
    </row>
    <row r="32" spans="2:11" ht="12.75">
      <c r="B32" s="13"/>
      <c r="K32" s="57"/>
    </row>
  </sheetData>
  <sheetProtection/>
  <mergeCells count="4">
    <mergeCell ref="A14:A16"/>
    <mergeCell ref="B4:C4"/>
    <mergeCell ref="B2:K2"/>
    <mergeCell ref="A1:K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B-13</oddHeader>
    <oddFooter>&amp;L&amp;8N:\\2185\&amp;F:&amp;A&amp;R&amp;8&amp;D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/>
  <dimension ref="A1:K32"/>
  <sheetViews>
    <sheetView zoomScalePageLayoutView="0" workbookViewId="0" topLeftCell="A1">
      <selection activeCell="A17" sqref="A17"/>
    </sheetView>
  </sheetViews>
  <sheetFormatPr defaultColWidth="9.140625" defaultRowHeight="12.75"/>
  <cols>
    <col min="3" max="3" width="15.421875" style="0" customWidth="1"/>
    <col min="12" max="12" width="8.421875" style="0" customWidth="1"/>
  </cols>
  <sheetData>
    <row r="1" spans="1:11" ht="17.25">
      <c r="A1" s="324" t="s">
        <v>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7.25">
      <c r="B2" s="324" t="s">
        <v>173</v>
      </c>
      <c r="C2" s="324"/>
      <c r="D2" s="324"/>
      <c r="E2" s="324"/>
      <c r="F2" s="324"/>
      <c r="G2" s="324"/>
      <c r="H2" s="324"/>
      <c r="I2" s="324"/>
      <c r="J2" s="324"/>
      <c r="K2" s="324"/>
    </row>
    <row r="3" ht="13.5" thickBot="1"/>
    <row r="4" spans="2:11" ht="46.5" customHeight="1" thickBot="1">
      <c r="B4" s="256" t="s">
        <v>37</v>
      </c>
      <c r="C4" s="257"/>
      <c r="D4" s="2"/>
      <c r="E4" s="5" t="s">
        <v>38</v>
      </c>
      <c r="F4" s="6"/>
      <c r="G4" s="6" t="s">
        <v>39</v>
      </c>
      <c r="H4" s="53" t="s">
        <v>40</v>
      </c>
      <c r="I4" s="53" t="s">
        <v>41</v>
      </c>
      <c r="J4" s="52" t="s">
        <v>42</v>
      </c>
      <c r="K4" s="33" t="s">
        <v>43</v>
      </c>
    </row>
    <row r="5" spans="2:11" ht="12.75">
      <c r="B5" s="40"/>
      <c r="C5" s="20"/>
      <c r="D5" s="20"/>
      <c r="E5" s="47"/>
      <c r="F5" s="20"/>
      <c r="G5" s="20"/>
      <c r="H5" s="20"/>
      <c r="I5" s="20"/>
      <c r="J5" s="20"/>
      <c r="K5" s="58"/>
    </row>
    <row r="6" spans="2:11" ht="12.75">
      <c r="B6" s="43" t="s">
        <v>44</v>
      </c>
      <c r="C6" s="20"/>
      <c r="D6" s="20"/>
      <c r="E6" s="47"/>
      <c r="F6" s="20"/>
      <c r="G6" s="20"/>
      <c r="H6" s="20"/>
      <c r="I6" s="20"/>
      <c r="J6" s="20"/>
      <c r="K6" s="59"/>
    </row>
    <row r="7" spans="2:11" ht="12.75">
      <c r="B7" s="43" t="s">
        <v>45</v>
      </c>
      <c r="C7" s="20"/>
      <c r="E7" s="60">
        <v>122</v>
      </c>
      <c r="F7" s="26"/>
      <c r="G7" s="26" t="s">
        <v>46</v>
      </c>
      <c r="H7" s="26">
        <v>2</v>
      </c>
      <c r="I7" s="26">
        <v>16.2</v>
      </c>
      <c r="J7" s="20">
        <f>0.000856-0.00047</f>
        <v>0.000386</v>
      </c>
      <c r="K7" s="97">
        <f>E7*H7*I7*J7</f>
        <v>1.5257808</v>
      </c>
    </row>
    <row r="8" spans="2:11" ht="12.75">
      <c r="B8" s="43" t="s">
        <v>5</v>
      </c>
      <c r="C8" s="20"/>
      <c r="D8" s="20"/>
      <c r="E8" s="47"/>
      <c r="F8" s="20"/>
      <c r="G8" s="20"/>
      <c r="H8" s="20"/>
      <c r="I8" s="20"/>
      <c r="J8" s="20"/>
      <c r="K8" s="105"/>
    </row>
    <row r="9" spans="2:11" ht="12.75">
      <c r="B9" s="43" t="s">
        <v>175</v>
      </c>
      <c r="C9" s="20"/>
      <c r="D9" s="20"/>
      <c r="E9" s="60">
        <v>1</v>
      </c>
      <c r="F9" s="20"/>
      <c r="G9" s="26" t="s">
        <v>46</v>
      </c>
      <c r="H9" s="26">
        <v>1</v>
      </c>
      <c r="I9" s="26">
        <v>10</v>
      </c>
      <c r="J9" s="20">
        <f>0.000856-0.00047</f>
        <v>0.000386</v>
      </c>
      <c r="K9" s="97">
        <f>E9*H9*I9*J9</f>
        <v>0.00386</v>
      </c>
    </row>
    <row r="10" spans="2:11" ht="12.75">
      <c r="B10" s="43"/>
      <c r="C10" s="20"/>
      <c r="D10" s="20"/>
      <c r="E10" s="47"/>
      <c r="F10" s="20"/>
      <c r="G10" s="20"/>
      <c r="H10" s="20"/>
      <c r="I10" s="20"/>
      <c r="J10" s="20"/>
      <c r="K10" s="105"/>
    </row>
    <row r="11" spans="2:11" ht="12.75">
      <c r="B11" s="43" t="s">
        <v>176</v>
      </c>
      <c r="C11" s="20"/>
      <c r="D11" s="20"/>
      <c r="E11" s="60">
        <v>6</v>
      </c>
      <c r="F11" s="26"/>
      <c r="G11" s="26" t="s">
        <v>46</v>
      </c>
      <c r="H11" s="26">
        <v>2</v>
      </c>
      <c r="I11" s="26">
        <v>16.2</v>
      </c>
      <c r="J11" s="20">
        <f>0.0026-0.00047</f>
        <v>0.00213</v>
      </c>
      <c r="K11" s="97">
        <f>E11*H11*I11*J11</f>
        <v>0.41407199999999994</v>
      </c>
    </row>
    <row r="12" spans="2:11" ht="12.75">
      <c r="B12" s="43" t="s">
        <v>5</v>
      </c>
      <c r="C12" s="20"/>
      <c r="D12" s="20"/>
      <c r="E12" s="47"/>
      <c r="F12" s="20"/>
      <c r="G12" s="20"/>
      <c r="H12" s="20"/>
      <c r="I12" s="20"/>
      <c r="J12" s="20"/>
      <c r="K12" s="105"/>
    </row>
    <row r="13" spans="2:11" ht="12.75">
      <c r="B13" s="43" t="s">
        <v>152</v>
      </c>
      <c r="C13" s="20"/>
      <c r="D13" s="20"/>
      <c r="E13" s="60">
        <v>2</v>
      </c>
      <c r="F13" s="20"/>
      <c r="G13" s="26" t="s">
        <v>48</v>
      </c>
      <c r="H13" s="26">
        <v>2</v>
      </c>
      <c r="I13" s="26">
        <v>1.5</v>
      </c>
      <c r="J13" s="20">
        <f>0.0206-0.00047</f>
        <v>0.02013</v>
      </c>
      <c r="K13" s="97">
        <f>E13*H13*I13*J13</f>
        <v>0.12078</v>
      </c>
    </row>
    <row r="14" spans="1:11" ht="12.75">
      <c r="A14" s="323" t="s">
        <v>206</v>
      </c>
      <c r="B14" s="43"/>
      <c r="C14" s="20"/>
      <c r="D14" s="20"/>
      <c r="E14" s="47"/>
      <c r="F14" s="20"/>
      <c r="G14" s="20"/>
      <c r="H14" s="20"/>
      <c r="I14" s="20"/>
      <c r="J14" s="20"/>
      <c r="K14" s="105"/>
    </row>
    <row r="15" spans="1:11" ht="12.75">
      <c r="A15" s="323"/>
      <c r="B15" s="43" t="s">
        <v>47</v>
      </c>
      <c r="C15" s="20"/>
      <c r="D15" s="20"/>
      <c r="E15" s="60">
        <v>10</v>
      </c>
      <c r="F15" s="26"/>
      <c r="G15" s="26" t="s">
        <v>48</v>
      </c>
      <c r="H15" s="26">
        <v>2</v>
      </c>
      <c r="I15" s="26">
        <v>50</v>
      </c>
      <c r="J15" s="20">
        <f>0.0206-0.00047</f>
        <v>0.02013</v>
      </c>
      <c r="K15" s="97">
        <f>E15*H15*I15*J15</f>
        <v>20.13</v>
      </c>
    </row>
    <row r="16" spans="1:11" ht="12.75">
      <c r="A16" s="323"/>
      <c r="B16" s="43"/>
      <c r="C16" s="20"/>
      <c r="D16" s="20"/>
      <c r="E16" s="60"/>
      <c r="F16" s="26"/>
      <c r="G16" s="26"/>
      <c r="H16" s="26"/>
      <c r="I16" s="26"/>
      <c r="J16" s="20"/>
      <c r="K16" s="97"/>
    </row>
    <row r="17" spans="2:11" ht="13.5" thickBot="1">
      <c r="B17" s="43" t="s">
        <v>49</v>
      </c>
      <c r="C17" s="20"/>
      <c r="D17" s="20"/>
      <c r="E17" s="60">
        <v>1</v>
      </c>
      <c r="F17" s="26"/>
      <c r="G17" s="26" t="s">
        <v>48</v>
      </c>
      <c r="H17" s="26">
        <v>1</v>
      </c>
      <c r="I17" s="26">
        <v>4</v>
      </c>
      <c r="J17" s="20">
        <v>2.5826</v>
      </c>
      <c r="K17" s="97">
        <f>E17*H17*I17*J17</f>
        <v>10.3304</v>
      </c>
    </row>
    <row r="18" spans="2:11" ht="18.75" customHeight="1" thickBot="1">
      <c r="B18" s="1" t="s">
        <v>4</v>
      </c>
      <c r="C18" s="2"/>
      <c r="D18" s="2"/>
      <c r="E18" s="5">
        <f>SUM(E7:E17)</f>
        <v>142</v>
      </c>
      <c r="F18" s="2"/>
      <c r="G18" s="2"/>
      <c r="H18" s="2"/>
      <c r="I18" s="2"/>
      <c r="J18" s="2"/>
      <c r="K18" s="65">
        <f>SUM(K7:K17)</f>
        <v>32.524892799999996</v>
      </c>
    </row>
    <row r="20" ht="12.75">
      <c r="B20" s="13" t="s">
        <v>329</v>
      </c>
    </row>
    <row r="21" spans="2:3" ht="12.75">
      <c r="B21" s="13" t="s">
        <v>220</v>
      </c>
      <c r="C21" s="13"/>
    </row>
    <row r="22" spans="2:3" ht="12.75">
      <c r="B22" s="13" t="s">
        <v>95</v>
      </c>
      <c r="C22" s="13"/>
    </row>
    <row r="23" spans="2:3" ht="12.75">
      <c r="B23" s="13" t="s">
        <v>96</v>
      </c>
      <c r="C23" s="13"/>
    </row>
    <row r="24" spans="2:3" ht="12.75">
      <c r="B24" s="13" t="s">
        <v>221</v>
      </c>
      <c r="C24" s="13"/>
    </row>
    <row r="25" spans="2:3" ht="12.75">
      <c r="B25" s="13"/>
      <c r="C25" s="13"/>
    </row>
    <row r="26" spans="2:3" ht="12.75">
      <c r="B26" s="13" t="s">
        <v>330</v>
      </c>
      <c r="C26" s="13"/>
    </row>
    <row r="27" spans="2:3" ht="12.75">
      <c r="B27" s="13" t="s">
        <v>331</v>
      </c>
      <c r="C27" s="13"/>
    </row>
    <row r="28" ht="12.75">
      <c r="B28" s="13" t="s">
        <v>332</v>
      </c>
    </row>
    <row r="29" ht="12.75">
      <c r="B29" s="13"/>
    </row>
    <row r="32" spans="2:11" ht="12.75">
      <c r="B32" s="13"/>
      <c r="K32" s="57"/>
    </row>
  </sheetData>
  <sheetProtection/>
  <mergeCells count="4">
    <mergeCell ref="A14:A16"/>
    <mergeCell ref="B4:C4"/>
    <mergeCell ref="B2:K2"/>
    <mergeCell ref="A1:K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B-14</oddHeader>
    <oddFooter>&amp;L&amp;8N:\\2185\&amp;F:&amp;A&amp;R&amp;8&amp;D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2"/>
  <dimension ref="A1:K32"/>
  <sheetViews>
    <sheetView zoomScalePageLayoutView="0" workbookViewId="0" topLeftCell="C4">
      <selection activeCell="A17" sqref="A17"/>
    </sheetView>
  </sheetViews>
  <sheetFormatPr defaultColWidth="9.140625" defaultRowHeight="12.75"/>
  <cols>
    <col min="3" max="3" width="15.421875" style="0" customWidth="1"/>
    <col min="12" max="12" width="8.421875" style="0" customWidth="1"/>
  </cols>
  <sheetData>
    <row r="1" spans="1:11" ht="17.25">
      <c r="A1" s="324" t="s">
        <v>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7.25">
      <c r="B2" s="324" t="s">
        <v>174</v>
      </c>
      <c r="C2" s="324"/>
      <c r="D2" s="324"/>
      <c r="E2" s="324"/>
      <c r="F2" s="324"/>
      <c r="G2" s="324"/>
      <c r="H2" s="324"/>
      <c r="I2" s="324"/>
      <c r="J2" s="324"/>
      <c r="K2" s="324"/>
    </row>
    <row r="3" ht="13.5" thickBot="1"/>
    <row r="4" spans="2:11" ht="46.5" customHeight="1" thickBot="1">
      <c r="B4" s="256" t="s">
        <v>37</v>
      </c>
      <c r="C4" s="257"/>
      <c r="D4" s="2"/>
      <c r="E4" s="5" t="s">
        <v>38</v>
      </c>
      <c r="F4" s="6"/>
      <c r="G4" s="6" t="s">
        <v>39</v>
      </c>
      <c r="H4" s="53" t="s">
        <v>40</v>
      </c>
      <c r="I4" s="53" t="s">
        <v>41</v>
      </c>
      <c r="J4" s="52" t="s">
        <v>42</v>
      </c>
      <c r="K4" s="33" t="s">
        <v>43</v>
      </c>
    </row>
    <row r="5" spans="2:11" ht="12.75">
      <c r="B5" s="40"/>
      <c r="C5" s="20"/>
      <c r="D5" s="20"/>
      <c r="E5" s="47"/>
      <c r="F5" s="20"/>
      <c r="G5" s="20"/>
      <c r="H5" s="20"/>
      <c r="I5" s="20"/>
      <c r="J5" s="20"/>
      <c r="K5" s="58"/>
    </row>
    <row r="6" spans="2:11" ht="12.75">
      <c r="B6" s="43" t="s">
        <v>44</v>
      </c>
      <c r="C6" s="20"/>
      <c r="D6" s="20"/>
      <c r="E6" s="47"/>
      <c r="F6" s="20"/>
      <c r="G6" s="20"/>
      <c r="H6" s="20"/>
      <c r="I6" s="20"/>
      <c r="J6" s="20"/>
      <c r="K6" s="59"/>
    </row>
    <row r="7" spans="2:11" ht="12.75">
      <c r="B7" s="43" t="s">
        <v>45</v>
      </c>
      <c r="C7" s="20"/>
      <c r="E7" s="60">
        <v>727</v>
      </c>
      <c r="F7" s="26"/>
      <c r="G7" s="26" t="s">
        <v>46</v>
      </c>
      <c r="H7" s="26">
        <v>2</v>
      </c>
      <c r="I7" s="26">
        <v>16.2</v>
      </c>
      <c r="J7" s="20">
        <f>0.000856-0.00047</f>
        <v>0.000386</v>
      </c>
      <c r="K7" s="97">
        <f>E7*H7*I7*J7</f>
        <v>9.0921528</v>
      </c>
    </row>
    <row r="8" spans="2:11" ht="12.75">
      <c r="B8" s="43" t="s">
        <v>5</v>
      </c>
      <c r="C8" s="20"/>
      <c r="D8" s="20"/>
      <c r="E8" s="47"/>
      <c r="F8" s="20"/>
      <c r="G8" s="20"/>
      <c r="H8" s="20"/>
      <c r="I8" s="20"/>
      <c r="J8" s="20"/>
      <c r="K8" s="105"/>
    </row>
    <row r="9" spans="2:11" ht="12.75">
      <c r="B9" s="43" t="s">
        <v>175</v>
      </c>
      <c r="C9" s="20"/>
      <c r="D9" s="20"/>
      <c r="E9" s="60">
        <v>2</v>
      </c>
      <c r="F9" s="20"/>
      <c r="G9" s="26" t="s">
        <v>46</v>
      </c>
      <c r="H9" s="26">
        <v>1</v>
      </c>
      <c r="I9" s="26">
        <v>10</v>
      </c>
      <c r="J9" s="20">
        <f>0.000856-0.00047</f>
        <v>0.000386</v>
      </c>
      <c r="K9" s="97">
        <f>E9*H9*I9*J9</f>
        <v>0.00772</v>
      </c>
    </row>
    <row r="10" spans="2:11" ht="12.75">
      <c r="B10" s="43"/>
      <c r="C10" s="20"/>
      <c r="D10" s="20"/>
      <c r="E10" s="47"/>
      <c r="F10" s="20"/>
      <c r="G10" s="20"/>
      <c r="H10" s="20"/>
      <c r="I10" s="20"/>
      <c r="J10" s="20"/>
      <c r="K10" s="105"/>
    </row>
    <row r="11" spans="2:11" ht="12.75">
      <c r="B11" s="43" t="s">
        <v>176</v>
      </c>
      <c r="C11" s="20"/>
      <c r="D11" s="20"/>
      <c r="E11" s="60">
        <v>16</v>
      </c>
      <c r="F11" s="26"/>
      <c r="G11" s="26" t="s">
        <v>46</v>
      </c>
      <c r="H11" s="26">
        <v>2</v>
      </c>
      <c r="I11" s="26">
        <v>16.2</v>
      </c>
      <c r="J11" s="20">
        <f>0.0026-0.00047</f>
        <v>0.00213</v>
      </c>
      <c r="K11" s="97">
        <f>E11*H11*I11*J11</f>
        <v>1.1041919999999998</v>
      </c>
    </row>
    <row r="12" spans="2:11" ht="12.75">
      <c r="B12" s="43" t="s">
        <v>5</v>
      </c>
      <c r="C12" s="20"/>
      <c r="D12" s="20"/>
      <c r="E12" s="47"/>
      <c r="F12" s="20"/>
      <c r="G12" s="20"/>
      <c r="H12" s="20"/>
      <c r="I12" s="20"/>
      <c r="J12" s="20"/>
      <c r="K12" s="105"/>
    </row>
    <row r="13" spans="2:11" ht="12.75">
      <c r="B13" s="43" t="s">
        <v>152</v>
      </c>
      <c r="C13" s="20"/>
      <c r="D13" s="20"/>
      <c r="E13" s="60">
        <v>6</v>
      </c>
      <c r="F13" s="20"/>
      <c r="G13" s="26" t="s">
        <v>48</v>
      </c>
      <c r="H13" s="26">
        <v>2</v>
      </c>
      <c r="I13" s="26">
        <v>1.5</v>
      </c>
      <c r="J13" s="20">
        <f>0.0206-0.00047</f>
        <v>0.02013</v>
      </c>
      <c r="K13" s="97">
        <f>E13*H13*I13*J13</f>
        <v>0.36234</v>
      </c>
    </row>
    <row r="14" spans="1:11" ht="12.75">
      <c r="A14" s="323" t="s">
        <v>211</v>
      </c>
      <c r="B14" s="43"/>
      <c r="C14" s="20"/>
      <c r="D14" s="20"/>
      <c r="E14" s="47"/>
      <c r="F14" s="20"/>
      <c r="G14" s="20"/>
      <c r="H14" s="20"/>
      <c r="I14" s="20"/>
      <c r="J14" s="20"/>
      <c r="K14" s="105"/>
    </row>
    <row r="15" spans="1:11" ht="12.75">
      <c r="A15" s="323"/>
      <c r="B15" s="43" t="s">
        <v>47</v>
      </c>
      <c r="C15" s="20"/>
      <c r="D15" s="20"/>
      <c r="E15" s="60">
        <v>10</v>
      </c>
      <c r="F15" s="26"/>
      <c r="G15" s="26" t="s">
        <v>48</v>
      </c>
      <c r="H15" s="26">
        <v>2</v>
      </c>
      <c r="I15" s="26">
        <v>50</v>
      </c>
      <c r="J15" s="20">
        <f>0.0206-0.00047</f>
        <v>0.02013</v>
      </c>
      <c r="K15" s="97">
        <f>E15*H15*I15*J15</f>
        <v>20.13</v>
      </c>
    </row>
    <row r="16" spans="1:11" ht="12.75">
      <c r="A16" s="323"/>
      <c r="B16" s="43"/>
      <c r="C16" s="20"/>
      <c r="D16" s="20"/>
      <c r="E16" s="60"/>
      <c r="F16" s="26"/>
      <c r="G16" s="26"/>
      <c r="H16" s="26"/>
      <c r="I16" s="26"/>
      <c r="J16" s="20"/>
      <c r="K16" s="97"/>
    </row>
    <row r="17" spans="2:11" ht="13.5" thickBot="1">
      <c r="B17" s="43" t="s">
        <v>49</v>
      </c>
      <c r="C17" s="20"/>
      <c r="D17" s="20"/>
      <c r="E17" s="60">
        <v>1</v>
      </c>
      <c r="F17" s="26"/>
      <c r="G17" s="26" t="s">
        <v>48</v>
      </c>
      <c r="H17" s="26">
        <v>1</v>
      </c>
      <c r="I17" s="26">
        <v>4</v>
      </c>
      <c r="J17" s="20">
        <v>2.5826</v>
      </c>
      <c r="K17" s="97">
        <f>E17*H17*I17*J17</f>
        <v>10.3304</v>
      </c>
    </row>
    <row r="18" spans="2:11" ht="18.75" customHeight="1" thickBot="1">
      <c r="B18" s="1" t="s">
        <v>4</v>
      </c>
      <c r="C18" s="2"/>
      <c r="D18" s="2"/>
      <c r="E18" s="5">
        <f>SUM(E7:E17)</f>
        <v>762</v>
      </c>
      <c r="F18" s="2"/>
      <c r="G18" s="2"/>
      <c r="H18" s="2"/>
      <c r="I18" s="2"/>
      <c r="J18" s="2"/>
      <c r="K18" s="65">
        <f>SUM(K7:K17)</f>
        <v>41.026804799999994</v>
      </c>
    </row>
    <row r="20" ht="12.75">
      <c r="B20" s="13" t="s">
        <v>329</v>
      </c>
    </row>
    <row r="21" spans="2:3" ht="12.75">
      <c r="B21" s="13" t="s">
        <v>220</v>
      </c>
      <c r="C21" s="13"/>
    </row>
    <row r="22" spans="2:3" ht="12.75">
      <c r="B22" s="13" t="s">
        <v>95</v>
      </c>
      <c r="C22" s="13"/>
    </row>
    <row r="23" spans="2:3" ht="12.75">
      <c r="B23" s="13" t="s">
        <v>96</v>
      </c>
      <c r="C23" s="13"/>
    </row>
    <row r="24" spans="2:3" ht="12.75">
      <c r="B24" s="13" t="s">
        <v>221</v>
      </c>
      <c r="C24" s="13"/>
    </row>
    <row r="25" spans="2:3" ht="12.75">
      <c r="B25" s="13"/>
      <c r="C25" s="13"/>
    </row>
    <row r="26" spans="2:3" ht="12.75">
      <c r="B26" s="13" t="s">
        <v>330</v>
      </c>
      <c r="C26" s="13"/>
    </row>
    <row r="27" spans="2:3" ht="12.75">
      <c r="B27" s="13" t="s">
        <v>331</v>
      </c>
      <c r="C27" s="13"/>
    </row>
    <row r="28" ht="12.75">
      <c r="B28" s="13" t="s">
        <v>332</v>
      </c>
    </row>
    <row r="29" ht="12.75">
      <c r="B29" s="13"/>
    </row>
    <row r="32" spans="2:11" ht="12.75">
      <c r="B32" s="13"/>
      <c r="K32" s="57"/>
    </row>
  </sheetData>
  <sheetProtection/>
  <mergeCells count="4">
    <mergeCell ref="A14:A16"/>
    <mergeCell ref="B4:C4"/>
    <mergeCell ref="B2:K2"/>
    <mergeCell ref="A1:K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B-15</oddHeader>
    <oddFooter>&amp;L&amp;8N:\\2185\&amp;F:&amp;A&amp;R&amp;8&amp;D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22"/>
  <dimension ref="A1:K32"/>
  <sheetViews>
    <sheetView zoomScalePageLayoutView="0" workbookViewId="0" topLeftCell="A5">
      <selection activeCell="A17" sqref="A17"/>
    </sheetView>
  </sheetViews>
  <sheetFormatPr defaultColWidth="9.140625" defaultRowHeight="12.75"/>
  <cols>
    <col min="3" max="3" width="15.421875" style="0" customWidth="1"/>
    <col min="12" max="12" width="8.421875" style="0" customWidth="1"/>
  </cols>
  <sheetData>
    <row r="1" spans="1:11" ht="17.25">
      <c r="A1" s="324" t="s">
        <v>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7.25">
      <c r="B2" s="324" t="s">
        <v>342</v>
      </c>
      <c r="C2" s="324"/>
      <c r="D2" s="324"/>
      <c r="E2" s="324"/>
      <c r="F2" s="324"/>
      <c r="G2" s="324"/>
      <c r="H2" s="324"/>
      <c r="I2" s="324"/>
      <c r="J2" s="324"/>
      <c r="K2" s="324"/>
    </row>
    <row r="3" ht="13.5" thickBot="1"/>
    <row r="4" spans="2:11" ht="46.5" customHeight="1" thickBot="1">
      <c r="B4" s="256" t="s">
        <v>37</v>
      </c>
      <c r="C4" s="257"/>
      <c r="D4" s="2"/>
      <c r="E4" s="5" t="s">
        <v>38</v>
      </c>
      <c r="F4" s="6"/>
      <c r="G4" s="6" t="s">
        <v>39</v>
      </c>
      <c r="H4" s="53" t="s">
        <v>40</v>
      </c>
      <c r="I4" s="53" t="s">
        <v>41</v>
      </c>
      <c r="J4" s="52" t="s">
        <v>42</v>
      </c>
      <c r="K4" s="33" t="s">
        <v>43</v>
      </c>
    </row>
    <row r="5" spans="2:11" ht="12.75">
      <c r="B5" s="40"/>
      <c r="C5" s="20"/>
      <c r="D5" s="20"/>
      <c r="E5" s="47"/>
      <c r="F5" s="20"/>
      <c r="G5" s="20"/>
      <c r="H5" s="20"/>
      <c r="I5" s="20"/>
      <c r="J5" s="20"/>
      <c r="K5" s="58"/>
    </row>
    <row r="6" spans="2:11" ht="12.75">
      <c r="B6" s="43" t="s">
        <v>44</v>
      </c>
      <c r="C6" s="20"/>
      <c r="D6" s="20"/>
      <c r="E6" s="47"/>
      <c r="F6" s="20"/>
      <c r="G6" s="20"/>
      <c r="H6" s="20"/>
      <c r="I6" s="20"/>
      <c r="J6" s="20"/>
      <c r="K6" s="59"/>
    </row>
    <row r="7" spans="2:11" ht="12.75">
      <c r="B7" s="43" t="s">
        <v>45</v>
      </c>
      <c r="C7" s="20"/>
      <c r="E7" s="60">
        <v>10</v>
      </c>
      <c r="F7" s="26"/>
      <c r="G7" s="26" t="s">
        <v>46</v>
      </c>
      <c r="H7" s="26">
        <v>2</v>
      </c>
      <c r="I7" s="26">
        <v>16.2</v>
      </c>
      <c r="J7" s="20">
        <f>0.000856-0.00047</f>
        <v>0.000386</v>
      </c>
      <c r="K7" s="97">
        <f>E7*H7*I7*J7</f>
        <v>0.125064</v>
      </c>
    </row>
    <row r="8" spans="2:11" ht="12.75">
      <c r="B8" s="43" t="s">
        <v>5</v>
      </c>
      <c r="C8" s="20"/>
      <c r="D8" s="20"/>
      <c r="E8" s="47"/>
      <c r="F8" s="20"/>
      <c r="G8" s="20"/>
      <c r="H8" s="20"/>
      <c r="I8" s="20"/>
      <c r="J8" s="20"/>
      <c r="K8" s="105"/>
    </row>
    <row r="9" spans="2:11" ht="12.75">
      <c r="B9" s="43" t="s">
        <v>175</v>
      </c>
      <c r="C9" s="20"/>
      <c r="D9" s="20"/>
      <c r="E9" s="60">
        <v>0</v>
      </c>
      <c r="F9" s="20"/>
      <c r="G9" s="26" t="s">
        <v>46</v>
      </c>
      <c r="H9" s="26">
        <v>1</v>
      </c>
      <c r="I9" s="26">
        <v>10</v>
      </c>
      <c r="J9" s="20">
        <f>0.000856-0.00047</f>
        <v>0.000386</v>
      </c>
      <c r="K9" s="97">
        <f>E9*H9*I9*J9</f>
        <v>0</v>
      </c>
    </row>
    <row r="10" spans="2:11" ht="12.75">
      <c r="B10" s="43"/>
      <c r="C10" s="20"/>
      <c r="D10" s="20"/>
      <c r="E10" s="47"/>
      <c r="F10" s="20"/>
      <c r="G10" s="20"/>
      <c r="H10" s="20"/>
      <c r="I10" s="20"/>
      <c r="J10" s="20"/>
      <c r="K10" s="105"/>
    </row>
    <row r="11" spans="2:11" ht="12.75">
      <c r="B11" s="43" t="s">
        <v>176</v>
      </c>
      <c r="C11" s="20"/>
      <c r="D11" s="20"/>
      <c r="E11" s="60">
        <v>0</v>
      </c>
      <c r="F11" s="26"/>
      <c r="G11" s="26" t="s">
        <v>46</v>
      </c>
      <c r="H11" s="26">
        <v>2</v>
      </c>
      <c r="I11" s="26">
        <v>16.2</v>
      </c>
      <c r="J11" s="20">
        <f>0.0026-0.00047</f>
        <v>0.00213</v>
      </c>
      <c r="K11" s="97">
        <f>E11*H11*I11*J11</f>
        <v>0</v>
      </c>
    </row>
    <row r="12" spans="2:11" ht="12.75">
      <c r="B12" s="43" t="s">
        <v>5</v>
      </c>
      <c r="C12" s="20"/>
      <c r="D12" s="20"/>
      <c r="E12" s="47"/>
      <c r="F12" s="20"/>
      <c r="G12" s="20"/>
      <c r="H12" s="20"/>
      <c r="I12" s="20"/>
      <c r="J12" s="20"/>
      <c r="K12" s="105"/>
    </row>
    <row r="13" spans="2:11" ht="12.75">
      <c r="B13" s="43" t="s">
        <v>152</v>
      </c>
      <c r="C13" s="20"/>
      <c r="D13" s="20"/>
      <c r="E13" s="60">
        <v>0</v>
      </c>
      <c r="F13" s="20"/>
      <c r="G13" s="26" t="s">
        <v>48</v>
      </c>
      <c r="H13" s="26">
        <v>2</v>
      </c>
      <c r="I13" s="26">
        <v>1.5</v>
      </c>
      <c r="J13" s="20">
        <f>0.0206-0.00047</f>
        <v>0.02013</v>
      </c>
      <c r="K13" s="97">
        <f>E13*H13*I13*J13</f>
        <v>0</v>
      </c>
    </row>
    <row r="14" spans="1:11" ht="12.75">
      <c r="A14" s="323" t="s">
        <v>223</v>
      </c>
      <c r="B14" s="43"/>
      <c r="C14" s="20"/>
      <c r="D14" s="20"/>
      <c r="E14" s="47"/>
      <c r="F14" s="20"/>
      <c r="G14" s="20"/>
      <c r="H14" s="20"/>
      <c r="I14" s="20"/>
      <c r="J14" s="20"/>
      <c r="K14" s="105"/>
    </row>
    <row r="15" spans="1:11" ht="12.75">
      <c r="A15" s="323"/>
      <c r="B15" s="43" t="s">
        <v>47</v>
      </c>
      <c r="C15" s="20"/>
      <c r="D15" s="20"/>
      <c r="E15" s="60">
        <v>2</v>
      </c>
      <c r="F15" s="26"/>
      <c r="G15" s="26" t="s">
        <v>48</v>
      </c>
      <c r="H15" s="26">
        <v>2</v>
      </c>
      <c r="I15" s="26">
        <v>50</v>
      </c>
      <c r="J15" s="20">
        <f>0.0206-0.00047</f>
        <v>0.02013</v>
      </c>
      <c r="K15" s="97">
        <f>E15*H15*I15*J15</f>
        <v>4.026</v>
      </c>
    </row>
    <row r="16" spans="1:11" ht="12.75">
      <c r="A16" s="323"/>
      <c r="B16" s="43"/>
      <c r="C16" s="20"/>
      <c r="D16" s="20"/>
      <c r="E16" s="60"/>
      <c r="F16" s="26"/>
      <c r="G16" s="26"/>
      <c r="H16" s="26"/>
      <c r="I16" s="26"/>
      <c r="J16" s="20"/>
      <c r="K16" s="97"/>
    </row>
    <row r="17" spans="2:11" ht="13.5" thickBot="1">
      <c r="B17" s="43" t="s">
        <v>49</v>
      </c>
      <c r="C17" s="20"/>
      <c r="D17" s="20"/>
      <c r="E17" s="60">
        <v>0</v>
      </c>
      <c r="F17" s="26"/>
      <c r="G17" s="26" t="s">
        <v>48</v>
      </c>
      <c r="H17" s="26">
        <v>1</v>
      </c>
      <c r="I17" s="26">
        <v>4</v>
      </c>
      <c r="J17" s="20">
        <v>2.5826</v>
      </c>
      <c r="K17" s="97">
        <f>E17*H17*I17*J17</f>
        <v>0</v>
      </c>
    </row>
    <row r="18" spans="2:11" ht="18.75" customHeight="1" thickBot="1">
      <c r="B18" s="1" t="s">
        <v>4</v>
      </c>
      <c r="C18" s="2"/>
      <c r="D18" s="2"/>
      <c r="E18" s="5">
        <f>SUM(E7:E17)</f>
        <v>12</v>
      </c>
      <c r="F18" s="2"/>
      <c r="G18" s="2"/>
      <c r="H18" s="2"/>
      <c r="I18" s="2"/>
      <c r="J18" s="2"/>
      <c r="K18" s="65">
        <f>SUM(K7:K17)</f>
        <v>4.151064</v>
      </c>
    </row>
    <row r="20" ht="12.75">
      <c r="B20" s="13" t="s">
        <v>329</v>
      </c>
    </row>
    <row r="21" spans="2:3" ht="12.75">
      <c r="B21" s="13" t="s">
        <v>220</v>
      </c>
      <c r="C21" s="13"/>
    </row>
    <row r="22" spans="2:3" ht="12.75">
      <c r="B22" s="13" t="s">
        <v>95</v>
      </c>
      <c r="C22" s="13"/>
    </row>
    <row r="23" spans="2:3" ht="12.75">
      <c r="B23" s="13" t="s">
        <v>96</v>
      </c>
      <c r="C23" s="13"/>
    </row>
    <row r="24" spans="2:3" ht="12.75">
      <c r="B24" s="13" t="s">
        <v>221</v>
      </c>
      <c r="C24" s="13"/>
    </row>
    <row r="25" spans="2:3" ht="12.75">
      <c r="B25" s="13"/>
      <c r="C25" s="13"/>
    </row>
    <row r="26" spans="2:3" ht="12.75">
      <c r="B26" s="13" t="s">
        <v>330</v>
      </c>
      <c r="C26" s="13"/>
    </row>
    <row r="27" spans="2:3" ht="12.75">
      <c r="B27" s="13" t="s">
        <v>331</v>
      </c>
      <c r="C27" s="13"/>
    </row>
    <row r="28" ht="12.75">
      <c r="B28" s="13" t="s">
        <v>332</v>
      </c>
    </row>
    <row r="29" ht="12.75">
      <c r="B29" s="13"/>
    </row>
    <row r="32" spans="2:11" ht="12.75">
      <c r="B32" s="13"/>
      <c r="K32" s="57"/>
    </row>
  </sheetData>
  <sheetProtection/>
  <mergeCells count="4">
    <mergeCell ref="A14:A16"/>
    <mergeCell ref="B4:C4"/>
    <mergeCell ref="B2:K2"/>
    <mergeCell ref="A1:K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B-16</oddHeader>
    <oddFooter>&amp;L&amp;8N:\\2185\&amp;F:&amp;A&amp;R&amp;8&amp;D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3" width="20.7109375" style="0" customWidth="1"/>
    <col min="5" max="5" width="25.7109375" style="0" customWidth="1"/>
    <col min="11" max="11" width="8.421875" style="0" customWidth="1"/>
  </cols>
  <sheetData>
    <row r="1" spans="1:4" ht="17.25">
      <c r="A1" s="187"/>
      <c r="C1" s="187" t="s">
        <v>5</v>
      </c>
      <c r="D1" s="187"/>
    </row>
    <row r="2" spans="1:5" ht="17.25">
      <c r="A2" s="187"/>
      <c r="B2" s="325" t="s">
        <v>181</v>
      </c>
      <c r="C2" s="326"/>
      <c r="D2" s="326"/>
      <c r="E2" s="326"/>
    </row>
    <row r="3" spans="3:9" ht="17.25">
      <c r="C3" s="327" t="s">
        <v>5</v>
      </c>
      <c r="D3" s="327"/>
      <c r="F3" s="185" t="s">
        <v>5</v>
      </c>
      <c r="G3" s="148"/>
      <c r="H3" s="148"/>
      <c r="I3" s="148"/>
    </row>
    <row r="4" spans="2:9" ht="15">
      <c r="B4" s="325" t="s">
        <v>191</v>
      </c>
      <c r="C4" s="330"/>
      <c r="D4" s="330"/>
      <c r="E4" s="330"/>
      <c r="F4" s="186"/>
      <c r="G4" s="186"/>
      <c r="H4" s="186"/>
      <c r="I4" s="186"/>
    </row>
    <row r="5" spans="3:9" ht="15">
      <c r="C5" s="186"/>
      <c r="D5" s="186"/>
      <c r="E5" s="186"/>
      <c r="F5" s="186"/>
      <c r="G5" s="186"/>
      <c r="H5" s="186"/>
      <c r="I5" s="186"/>
    </row>
    <row r="6" spans="3:9" ht="15.75" thickBot="1">
      <c r="C6" s="186"/>
      <c r="D6" s="186"/>
      <c r="E6" s="186"/>
      <c r="F6" s="186"/>
      <c r="G6" s="186"/>
      <c r="H6" s="186"/>
      <c r="I6" s="186"/>
    </row>
    <row r="7" spans="2:9" ht="15.75" thickBot="1">
      <c r="B7" s="328" t="s">
        <v>182</v>
      </c>
      <c r="C7" s="328"/>
      <c r="D7" s="188" t="s">
        <v>183</v>
      </c>
      <c r="E7" s="188" t="s">
        <v>184</v>
      </c>
      <c r="F7" s="186"/>
      <c r="G7" s="186"/>
      <c r="H7" s="186"/>
      <c r="I7" s="186"/>
    </row>
    <row r="8" spans="2:9" ht="15">
      <c r="B8" s="329" t="s">
        <v>185</v>
      </c>
      <c r="C8" s="329"/>
      <c r="D8" s="189">
        <v>100</v>
      </c>
      <c r="E8" s="190"/>
      <c r="F8" s="186"/>
      <c r="G8" s="186"/>
      <c r="H8" s="186"/>
      <c r="I8" s="186"/>
    </row>
    <row r="9" spans="2:9" ht="15">
      <c r="B9" s="278" t="s">
        <v>186</v>
      </c>
      <c r="C9" s="278"/>
      <c r="D9" s="191">
        <v>2.1</v>
      </c>
      <c r="E9" s="192" t="s">
        <v>187</v>
      </c>
      <c r="F9" s="186"/>
      <c r="G9" s="186"/>
      <c r="H9" s="186"/>
      <c r="I9" s="186"/>
    </row>
    <row r="10" spans="2:5" ht="12.75">
      <c r="B10" s="278" t="s">
        <v>188</v>
      </c>
      <c r="C10" s="278"/>
      <c r="D10" s="191">
        <f>+D8*D9</f>
        <v>210</v>
      </c>
      <c r="E10" s="16"/>
    </row>
    <row r="12" spans="1:2" ht="12.75">
      <c r="A12" s="13" t="s">
        <v>5</v>
      </c>
      <c r="B12" s="13" t="s">
        <v>189</v>
      </c>
    </row>
    <row r="13" ht="12.75">
      <c r="A13" s="13"/>
    </row>
    <row r="14" spans="1:2" ht="12.75">
      <c r="A14" s="13" t="s">
        <v>5</v>
      </c>
      <c r="B14" s="13"/>
    </row>
    <row r="18" ht="26.25">
      <c r="A18" s="193" t="s">
        <v>272</v>
      </c>
    </row>
  </sheetData>
  <sheetProtection/>
  <mergeCells count="7">
    <mergeCell ref="B2:E2"/>
    <mergeCell ref="B10:C10"/>
    <mergeCell ref="B9:C9"/>
    <mergeCell ref="C3:D3"/>
    <mergeCell ref="B7:C7"/>
    <mergeCell ref="B8:C8"/>
    <mergeCell ref="B4:E4"/>
  </mergeCells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&amp;C&amp;"Arial,Bold"&amp;12Table B-17</oddHeader>
    <oddFooter>&amp;LN:\\2185\&amp;F:&amp;A&amp;R&amp;D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G57"/>
  <sheetViews>
    <sheetView zoomScalePageLayoutView="0" workbookViewId="0" topLeftCell="A32">
      <selection activeCell="D57" sqref="D57"/>
    </sheetView>
  </sheetViews>
  <sheetFormatPr defaultColWidth="9.140625" defaultRowHeight="12.75"/>
  <cols>
    <col min="1" max="1" width="22.00390625" style="0" bestFit="1" customWidth="1"/>
    <col min="3" max="7" width="10.140625" style="0" customWidth="1"/>
  </cols>
  <sheetData>
    <row r="1" spans="1:7" ht="15">
      <c r="A1" s="325" t="s">
        <v>119</v>
      </c>
      <c r="B1" s="325"/>
      <c r="C1" s="325"/>
      <c r="D1" s="325"/>
      <c r="E1" s="325"/>
      <c r="F1" s="325"/>
      <c r="G1" s="325"/>
    </row>
    <row r="2" ht="13.5" thickBot="1"/>
    <row r="3" spans="1:7" ht="13.5" thickTop="1">
      <c r="A3" s="331" t="s">
        <v>117</v>
      </c>
      <c r="B3" s="332"/>
      <c r="C3" s="335" t="s">
        <v>177</v>
      </c>
      <c r="D3" s="336"/>
      <c r="E3" s="336"/>
      <c r="F3" s="337"/>
      <c r="G3" s="338"/>
    </row>
    <row r="4" spans="1:7" ht="13.5" thickBot="1">
      <c r="A4" s="333"/>
      <c r="B4" s="334"/>
      <c r="C4" s="144" t="s">
        <v>0</v>
      </c>
      <c r="D4" s="144" t="s">
        <v>1</v>
      </c>
      <c r="E4" s="144" t="s">
        <v>2</v>
      </c>
      <c r="F4" s="144" t="s">
        <v>6</v>
      </c>
      <c r="G4" s="145" t="s">
        <v>3</v>
      </c>
    </row>
    <row r="5" spans="1:7" ht="13.5" thickTop="1">
      <c r="A5" s="16"/>
      <c r="B5" s="16"/>
      <c r="C5" s="16"/>
      <c r="D5" s="16"/>
      <c r="E5" s="16"/>
      <c r="F5" s="16"/>
      <c r="G5" s="16"/>
    </row>
    <row r="6" spans="1:7" ht="12.75">
      <c r="A6" s="19"/>
      <c r="B6" s="16"/>
      <c r="C6" s="16"/>
      <c r="D6" s="16"/>
      <c r="E6" s="16"/>
      <c r="F6" s="16"/>
      <c r="G6" s="16"/>
    </row>
    <row r="7" spans="1:7" ht="12.75">
      <c r="A7" s="16" t="s">
        <v>64</v>
      </c>
      <c r="B7" s="16"/>
      <c r="C7" s="24">
        <f>+'ConstEquip-Dec.2004'!J38</f>
        <v>774.4532400000002</v>
      </c>
      <c r="D7" s="24">
        <f>+'ConstEquip-Dec.2004'!K38</f>
        <v>59.960912</v>
      </c>
      <c r="E7" s="24">
        <f>+'ConstEquip-Dec.2004'!L38</f>
        <v>334.09976000000006</v>
      </c>
      <c r="F7" s="24">
        <f>+'ConstEquip-Dec.2004'!M38</f>
        <v>31.780955199999998</v>
      </c>
      <c r="G7" s="24">
        <f>+'ConstEquip-Dec.2004'!N38</f>
        <v>22.322608000000006</v>
      </c>
    </row>
    <row r="8" spans="1:7" ht="12.75">
      <c r="A8" s="16" t="s">
        <v>118</v>
      </c>
      <c r="B8" s="16"/>
      <c r="C8" s="24">
        <f>+'ConstTripEmiss 12-04'!E25</f>
        <v>89.94465840000001</v>
      </c>
      <c r="D8" s="24">
        <f>+'ConstTripEmiss 12-04'!G25</f>
        <v>39.8973236</v>
      </c>
      <c r="E8" s="24">
        <f>+'ConstTripEmiss 12-04'!I25</f>
        <v>37.063929</v>
      </c>
      <c r="F8" s="24">
        <f>+'ConstTripEmiss 12-04'!K25</f>
        <v>0.284977</v>
      </c>
      <c r="G8" s="24">
        <f>+'ConstTripEmiss 12-04'!M25</f>
        <v>0.8408133999999999</v>
      </c>
    </row>
    <row r="9" spans="1:7" ht="12.75">
      <c r="A9" s="16" t="s">
        <v>7</v>
      </c>
      <c r="B9" s="16"/>
      <c r="C9" s="95">
        <v>0</v>
      </c>
      <c r="D9" s="95">
        <v>0</v>
      </c>
      <c r="E9" s="95">
        <v>0</v>
      </c>
      <c r="F9" s="16">
        <v>0</v>
      </c>
      <c r="G9" s="24">
        <f>'FugitiveConstEF 12-04'!J28</f>
        <v>217.378125</v>
      </c>
    </row>
    <row r="10" spans="1:7" ht="12.75">
      <c r="A10" s="16" t="s">
        <v>121</v>
      </c>
      <c r="B10" s="16"/>
      <c r="C10" s="95">
        <v>0</v>
      </c>
      <c r="D10" s="95">
        <v>0</v>
      </c>
      <c r="E10" s="95">
        <v>0</v>
      </c>
      <c r="F10" s="16">
        <v>0</v>
      </c>
      <c r="G10" s="24">
        <f>'FugitiveEmiss 12-04'!$K$18</f>
        <v>32.4144772</v>
      </c>
    </row>
    <row r="11" spans="1:7" ht="12.75">
      <c r="A11" s="16" t="s">
        <v>190</v>
      </c>
      <c r="B11" s="16"/>
      <c r="C11" s="95">
        <v>0</v>
      </c>
      <c r="D11" s="95">
        <v>0</v>
      </c>
      <c r="E11" s="95">
        <v>0</v>
      </c>
      <c r="F11" s="16">
        <v>0</v>
      </c>
      <c r="G11" s="95">
        <v>0</v>
      </c>
    </row>
    <row r="12" spans="1:7" ht="12.75">
      <c r="A12" s="19" t="s">
        <v>92</v>
      </c>
      <c r="B12" s="16"/>
      <c r="C12" s="147">
        <f>SUM(C7:C11)</f>
        <v>864.3978984000001</v>
      </c>
      <c r="D12" s="147">
        <f>SUM(D7:D11)</f>
        <v>99.8582356</v>
      </c>
      <c r="E12" s="147">
        <f>SUM(E7:E11)</f>
        <v>371.1636890000001</v>
      </c>
      <c r="F12" s="147">
        <f>SUM(F7:F11)</f>
        <v>32.0659322</v>
      </c>
      <c r="G12" s="147">
        <f>SUM(G7:G11)</f>
        <v>272.95602360000004</v>
      </c>
    </row>
    <row r="13" spans="1:7" ht="12.75">
      <c r="A13" s="19" t="s">
        <v>122</v>
      </c>
      <c r="B13" s="16"/>
      <c r="C13" s="16">
        <v>550</v>
      </c>
      <c r="D13" s="16">
        <v>75</v>
      </c>
      <c r="E13" s="16">
        <v>100</v>
      </c>
      <c r="F13" s="16">
        <v>150</v>
      </c>
      <c r="G13" s="16">
        <v>150</v>
      </c>
    </row>
    <row r="14" spans="1:7" ht="12.75">
      <c r="A14" s="19" t="s">
        <v>123</v>
      </c>
      <c r="B14" s="16"/>
      <c r="C14" s="18" t="s">
        <v>180</v>
      </c>
      <c r="D14" s="18" t="s">
        <v>180</v>
      </c>
      <c r="E14" s="18" t="s">
        <v>180</v>
      </c>
      <c r="F14" s="18" t="s">
        <v>124</v>
      </c>
      <c r="G14" s="18" t="s">
        <v>180</v>
      </c>
    </row>
    <row r="15" ht="13.5" thickBot="1"/>
    <row r="16" spans="1:7" ht="13.5" thickTop="1">
      <c r="A16" s="331" t="s">
        <v>117</v>
      </c>
      <c r="B16" s="332"/>
      <c r="C16" s="335" t="s">
        <v>178</v>
      </c>
      <c r="D16" s="336"/>
      <c r="E16" s="336"/>
      <c r="F16" s="337"/>
      <c r="G16" s="338"/>
    </row>
    <row r="17" spans="1:7" ht="13.5" thickBot="1">
      <c r="A17" s="333"/>
      <c r="B17" s="334"/>
      <c r="C17" s="144" t="s">
        <v>0</v>
      </c>
      <c r="D17" s="144" t="s">
        <v>1</v>
      </c>
      <c r="E17" s="144" t="s">
        <v>2</v>
      </c>
      <c r="F17" s="144" t="s">
        <v>6</v>
      </c>
      <c r="G17" s="145" t="s">
        <v>3</v>
      </c>
    </row>
    <row r="18" spans="1:7" ht="13.5" thickTop="1">
      <c r="A18" s="16"/>
      <c r="B18" s="16"/>
      <c r="C18" s="16"/>
      <c r="D18" s="16"/>
      <c r="E18" s="16"/>
      <c r="F18" s="16"/>
      <c r="G18" s="16"/>
    </row>
    <row r="19" spans="1:7" ht="12.75">
      <c r="A19" s="19"/>
      <c r="B19" s="16"/>
      <c r="C19" s="16"/>
      <c r="D19" s="16"/>
      <c r="E19" s="16"/>
      <c r="F19" s="16"/>
      <c r="G19" s="16"/>
    </row>
    <row r="20" spans="1:7" ht="12.75">
      <c r="A20" s="16" t="s">
        <v>64</v>
      </c>
      <c r="B20" s="16"/>
      <c r="C20" s="24">
        <f>+'ConstEquip-Jan.2005'!J38</f>
        <v>837.5550880000002</v>
      </c>
      <c r="D20" s="24">
        <f>+'ConstEquip-Jan.2005'!K38</f>
        <v>65.717688</v>
      </c>
      <c r="E20" s="24">
        <f>+'ConstEquip-Jan.2005'!L38</f>
        <v>358.92994400000003</v>
      </c>
      <c r="F20" s="24">
        <f>+'ConstEquip-Jan.2005'!M38</f>
        <v>34.532491199999996</v>
      </c>
      <c r="G20" s="24">
        <f>+'ConstEquip-Jan.2005'!N38</f>
        <v>23.570916</v>
      </c>
    </row>
    <row r="21" spans="1:7" ht="12.75">
      <c r="A21" s="16" t="s">
        <v>118</v>
      </c>
      <c r="B21" s="16"/>
      <c r="C21" s="24">
        <f>+'ConstTripEmiss 1-05'!E25</f>
        <v>92.1599748</v>
      </c>
      <c r="D21" s="24">
        <f>+'ConstTripEmiss 1-05'!G25</f>
        <v>40.1362892</v>
      </c>
      <c r="E21" s="24">
        <f>+'ConstTripEmiss 1-05'!I25</f>
        <v>37.386030000000005</v>
      </c>
      <c r="F21" s="24">
        <f>+'ConstTripEmiss 1-05'!K25</f>
        <v>0.287002</v>
      </c>
      <c r="G21" s="24">
        <f>+'ConstTripEmiss 1-05'!M25</f>
        <v>0.8526088</v>
      </c>
    </row>
    <row r="22" spans="1:7" ht="12.75">
      <c r="A22" s="16" t="s">
        <v>7</v>
      </c>
      <c r="B22" s="16"/>
      <c r="C22" s="95">
        <v>0</v>
      </c>
      <c r="D22" s="95">
        <v>0</v>
      </c>
      <c r="E22" s="95">
        <v>0</v>
      </c>
      <c r="F22" s="16">
        <v>0</v>
      </c>
      <c r="G22" s="24">
        <f>'FugitiveConstEF 01-05'!J28</f>
        <v>217.378125</v>
      </c>
    </row>
    <row r="23" spans="1:7" ht="12.75">
      <c r="A23" s="16" t="s">
        <v>121</v>
      </c>
      <c r="B23" s="16"/>
      <c r="C23" s="95">
        <v>0</v>
      </c>
      <c r="D23" s="95">
        <v>0</v>
      </c>
      <c r="E23" s="95">
        <v>0</v>
      </c>
      <c r="F23" s="16">
        <v>0</v>
      </c>
      <c r="G23" s="24">
        <f>'FugitiveEmiss 01-05'!$K$18</f>
        <v>32.524892799999996</v>
      </c>
    </row>
    <row r="24" spans="1:7" ht="12.75">
      <c r="A24" s="16" t="s">
        <v>190</v>
      </c>
      <c r="B24" s="16"/>
      <c r="C24" s="95">
        <v>0</v>
      </c>
      <c r="D24" s="95">
        <v>0</v>
      </c>
      <c r="E24" s="95">
        <v>0</v>
      </c>
      <c r="F24" s="16">
        <v>0</v>
      </c>
      <c r="G24" s="95">
        <v>0</v>
      </c>
    </row>
    <row r="25" spans="1:7" ht="12.75">
      <c r="A25" s="19" t="s">
        <v>92</v>
      </c>
      <c r="B25" s="16"/>
      <c r="C25" s="147">
        <f>SUM(C20:C24)</f>
        <v>929.7150628000002</v>
      </c>
      <c r="D25" s="147">
        <f>SUM(D20:D24)</f>
        <v>105.8539772</v>
      </c>
      <c r="E25" s="147">
        <f>SUM(E20:E24)</f>
        <v>396.31597400000004</v>
      </c>
      <c r="F25" s="147">
        <f>SUM(F20:F24)</f>
        <v>34.8194932</v>
      </c>
      <c r="G25" s="202">
        <f>SUM(G20:G24)</f>
        <v>274.3265426</v>
      </c>
    </row>
    <row r="26" spans="1:7" ht="12.75">
      <c r="A26" s="19" t="s">
        <v>122</v>
      </c>
      <c r="B26" s="16"/>
      <c r="C26" s="16">
        <v>550</v>
      </c>
      <c r="D26" s="16">
        <v>75</v>
      </c>
      <c r="E26" s="16">
        <v>100</v>
      </c>
      <c r="F26" s="16">
        <v>150</v>
      </c>
      <c r="G26" s="16">
        <v>150</v>
      </c>
    </row>
    <row r="27" spans="1:7" ht="12.75">
      <c r="A27" s="19" t="s">
        <v>123</v>
      </c>
      <c r="B27" s="16"/>
      <c r="C27" s="18" t="s">
        <v>180</v>
      </c>
      <c r="D27" s="18" t="s">
        <v>180</v>
      </c>
      <c r="E27" s="18" t="s">
        <v>180</v>
      </c>
      <c r="F27" s="18" t="s">
        <v>124</v>
      </c>
      <c r="G27" s="18" t="s">
        <v>180</v>
      </c>
    </row>
    <row r="28" ht="13.5" thickBot="1"/>
    <row r="29" spans="1:7" ht="13.5" thickTop="1">
      <c r="A29" s="331" t="s">
        <v>117</v>
      </c>
      <c r="B29" s="332"/>
      <c r="C29" s="335" t="s">
        <v>179</v>
      </c>
      <c r="D29" s="336"/>
      <c r="E29" s="336"/>
      <c r="F29" s="337"/>
      <c r="G29" s="338"/>
    </row>
    <row r="30" spans="1:7" ht="13.5" thickBot="1">
      <c r="A30" s="333"/>
      <c r="B30" s="334"/>
      <c r="C30" s="144" t="s">
        <v>0</v>
      </c>
      <c r="D30" s="144" t="s">
        <v>1</v>
      </c>
      <c r="E30" s="144" t="s">
        <v>2</v>
      </c>
      <c r="F30" s="144" t="s">
        <v>6</v>
      </c>
      <c r="G30" s="145" t="s">
        <v>3</v>
      </c>
    </row>
    <row r="31" spans="1:7" ht="13.5" thickTop="1">
      <c r="A31" s="16"/>
      <c r="B31" s="16"/>
      <c r="C31" s="16"/>
      <c r="D31" s="16"/>
      <c r="E31" s="16"/>
      <c r="F31" s="16"/>
      <c r="G31" s="16"/>
    </row>
    <row r="32" spans="1:7" ht="12.75">
      <c r="A32" s="19"/>
      <c r="B32" s="16"/>
      <c r="C32" s="16"/>
      <c r="D32" s="16"/>
      <c r="E32" s="16"/>
      <c r="F32" s="16"/>
      <c r="G32" s="16"/>
    </row>
    <row r="33" spans="1:7" ht="12.75">
      <c r="A33" s="16" t="s">
        <v>64</v>
      </c>
      <c r="B33" s="16"/>
      <c r="C33" s="24">
        <f>+'ConstEquip-Sept.2005'!J39</f>
        <v>1279.5774560000002</v>
      </c>
      <c r="D33" s="24">
        <f>+'ConstEquip-Sept.2005'!K39</f>
        <v>102.77137599999999</v>
      </c>
      <c r="E33" s="24">
        <f>+'ConstEquip-Sept.2005'!L39</f>
        <v>618.8648479999999</v>
      </c>
      <c r="F33" s="24">
        <f>+'ConstEquip-Sept.2005'!M39</f>
        <v>57.758830399999994</v>
      </c>
      <c r="G33" s="24">
        <f>+'ConstEquip-Sept.2005'!N39</f>
        <v>36.538475999999996</v>
      </c>
    </row>
    <row r="34" spans="1:7" ht="12.75">
      <c r="A34" s="16" t="s">
        <v>118</v>
      </c>
      <c r="B34" s="16"/>
      <c r="C34" s="24">
        <f>+'ConstTripEmiss 9-05'!E25</f>
        <v>422.55727880000006</v>
      </c>
      <c r="D34" s="24">
        <f>+'ConstTripEmiss 9-05'!G25</f>
        <v>75.4807212</v>
      </c>
      <c r="E34" s="24">
        <f>+'ConstTripEmiss 9-05'!I25</f>
        <v>73.62611400000002</v>
      </c>
      <c r="F34" s="24">
        <f>+'ConstTripEmiss 9-05'!K25</f>
        <v>0.489278</v>
      </c>
      <c r="G34" s="24">
        <f>+'ConstTripEmiss 9-05'!M25</f>
        <v>2.4337807999999996</v>
      </c>
    </row>
    <row r="35" spans="1:7" ht="12.75">
      <c r="A35" s="16" t="s">
        <v>7</v>
      </c>
      <c r="B35" s="16"/>
      <c r="C35" s="95">
        <v>0</v>
      </c>
      <c r="D35" s="95">
        <v>0</v>
      </c>
      <c r="E35" s="95">
        <v>0</v>
      </c>
      <c r="F35" s="16">
        <v>0</v>
      </c>
      <c r="G35" s="24">
        <f>'FugitiveConstEF 09-05'!J28</f>
        <v>40.701750000000004</v>
      </c>
    </row>
    <row r="36" spans="1:7" ht="12.75">
      <c r="A36" s="16" t="s">
        <v>121</v>
      </c>
      <c r="B36" s="16"/>
      <c r="C36" s="95">
        <v>0</v>
      </c>
      <c r="D36" s="95">
        <v>0</v>
      </c>
      <c r="E36" s="95">
        <v>0</v>
      </c>
      <c r="F36" s="16">
        <v>0</v>
      </c>
      <c r="G36" s="24">
        <f>'FugitiveEmiss 09-05'!$K$18</f>
        <v>41.026804799999994</v>
      </c>
    </row>
    <row r="37" spans="1:7" ht="12.75">
      <c r="A37" s="16" t="s">
        <v>190</v>
      </c>
      <c r="B37" s="16"/>
      <c r="C37" s="95">
        <v>0</v>
      </c>
      <c r="D37" s="95">
        <f>'Fugitive Paint'!D10</f>
        <v>210</v>
      </c>
      <c r="E37" s="95">
        <v>0</v>
      </c>
      <c r="F37" s="16">
        <v>0</v>
      </c>
      <c r="G37" s="95">
        <v>0</v>
      </c>
    </row>
    <row r="38" spans="1:7" ht="12.75">
      <c r="A38" s="19" t="s">
        <v>92</v>
      </c>
      <c r="B38" s="16"/>
      <c r="C38" s="202">
        <f>SUM(C33:C37)</f>
        <v>1702.1347348000004</v>
      </c>
      <c r="D38" s="202">
        <f>SUM(D33:D37)</f>
        <v>388.2520972</v>
      </c>
      <c r="E38" s="202">
        <f>SUM(E33:E37)</f>
        <v>692.490962</v>
      </c>
      <c r="F38" s="202">
        <f>SUM(F33:F37)</f>
        <v>58.24810839999999</v>
      </c>
      <c r="G38" s="147">
        <f>SUM(G33:G37)</f>
        <v>120.7008116</v>
      </c>
    </row>
    <row r="39" spans="1:7" ht="12.75">
      <c r="A39" s="19" t="s">
        <v>122</v>
      </c>
      <c r="B39" s="16"/>
      <c r="C39" s="16">
        <v>550</v>
      </c>
      <c r="D39" s="16">
        <v>75</v>
      </c>
      <c r="E39" s="16">
        <v>100</v>
      </c>
      <c r="F39" s="16">
        <v>150</v>
      </c>
      <c r="G39" s="16">
        <v>150</v>
      </c>
    </row>
    <row r="40" spans="1:7" ht="12.75">
      <c r="A40" s="19" t="s">
        <v>123</v>
      </c>
      <c r="B40" s="16"/>
      <c r="C40" s="18" t="s">
        <v>180</v>
      </c>
      <c r="D40" s="18" t="s">
        <v>180</v>
      </c>
      <c r="E40" s="18" t="s">
        <v>180</v>
      </c>
      <c r="F40" s="18" t="s">
        <v>124</v>
      </c>
      <c r="G40" s="18" t="s">
        <v>124</v>
      </c>
    </row>
    <row r="41" spans="1:7" ht="13.5" thickBot="1">
      <c r="A41" s="224"/>
      <c r="B41" s="20"/>
      <c r="C41" s="26"/>
      <c r="D41" s="26"/>
      <c r="E41" s="26"/>
      <c r="F41" s="26"/>
      <c r="G41" s="26"/>
    </row>
    <row r="42" spans="1:7" ht="13.5" thickTop="1">
      <c r="A42" s="331" t="s">
        <v>117</v>
      </c>
      <c r="B42" s="332"/>
      <c r="C42" s="335" t="s">
        <v>341</v>
      </c>
      <c r="D42" s="336"/>
      <c r="E42" s="336"/>
      <c r="F42" s="337"/>
      <c r="G42" s="338"/>
    </row>
    <row r="43" spans="1:7" ht="13.5" thickBot="1">
      <c r="A43" s="333"/>
      <c r="B43" s="334"/>
      <c r="C43" s="144" t="s">
        <v>0</v>
      </c>
      <c r="D43" s="144" t="s">
        <v>1</v>
      </c>
      <c r="E43" s="144" t="s">
        <v>2</v>
      </c>
      <c r="F43" s="144" t="s">
        <v>6</v>
      </c>
      <c r="G43" s="145" t="s">
        <v>3</v>
      </c>
    </row>
    <row r="44" spans="1:7" ht="13.5" thickTop="1">
      <c r="A44" s="16"/>
      <c r="B44" s="16"/>
      <c r="C44" s="16"/>
      <c r="D44" s="16"/>
      <c r="E44" s="16"/>
      <c r="F44" s="16"/>
      <c r="G44" s="16"/>
    </row>
    <row r="45" spans="1:7" ht="12.75">
      <c r="A45" s="19"/>
      <c r="B45" s="16"/>
      <c r="C45" s="16"/>
      <c r="D45" s="16"/>
      <c r="E45" s="16"/>
      <c r="F45" s="16"/>
      <c r="G45" s="16"/>
    </row>
    <row r="46" spans="1:7" ht="12.75">
      <c r="A46" s="16" t="s">
        <v>64</v>
      </c>
      <c r="B46" s="16"/>
      <c r="C46" s="24">
        <f>+'ConstEquip-Demolition'!J38</f>
        <v>55.00944</v>
      </c>
      <c r="D46" s="24">
        <f>+'ConstEquip-Demolition'!K38</f>
        <v>4.5408</v>
      </c>
      <c r="E46" s="24">
        <f>+'ConstEquip-Demolition'!L38</f>
        <v>15.58544</v>
      </c>
      <c r="F46" s="24">
        <f>+'ConstEquip-Demolition'!M38</f>
        <v>1.3642400000000001</v>
      </c>
      <c r="G46" s="24">
        <f>+'ConstEquip-Demolition'!N38</f>
        <v>1.0158000000000003</v>
      </c>
    </row>
    <row r="47" spans="1:7" ht="12.75">
      <c r="A47" s="16" t="s">
        <v>118</v>
      </c>
      <c r="B47" s="16"/>
      <c r="C47" s="24">
        <f>+'ConstTripEmiss-Demolition'!E25</f>
        <v>5.365116</v>
      </c>
      <c r="D47" s="24">
        <f>+'ConstTripEmiss-Demolition'!G25</f>
        <v>0.573804</v>
      </c>
      <c r="E47" s="24">
        <f>+'ConstTripEmiss-Demolition'!I25</f>
        <v>0.5831999999999999</v>
      </c>
      <c r="F47" s="24">
        <f>+'ConstTripEmiss-Demolition'!K25</f>
        <v>0.0032400000000000003</v>
      </c>
      <c r="G47" s="24">
        <f>+'ConstTripEmiss-Demolition'!M25</f>
        <v>0.025595999999999997</v>
      </c>
    </row>
    <row r="48" spans="1:7" ht="12.75">
      <c r="A48" s="16" t="s">
        <v>7</v>
      </c>
      <c r="B48" s="16"/>
      <c r="C48" s="95">
        <v>0</v>
      </c>
      <c r="D48" s="95">
        <v>0</v>
      </c>
      <c r="E48" s="95">
        <v>0</v>
      </c>
      <c r="F48" s="16">
        <v>0</v>
      </c>
      <c r="G48" s="24">
        <v>0</v>
      </c>
    </row>
    <row r="49" spans="1:7" ht="12.75">
      <c r="A49" s="16" t="s">
        <v>121</v>
      </c>
      <c r="B49" s="16"/>
      <c r="C49" s="95">
        <v>0</v>
      </c>
      <c r="D49" s="95">
        <v>0</v>
      </c>
      <c r="E49" s="95">
        <v>0</v>
      </c>
      <c r="F49" s="16">
        <v>0</v>
      </c>
      <c r="G49" s="24">
        <f>+'FugitiveEmiss - Demolition'!K18</f>
        <v>4.151064</v>
      </c>
    </row>
    <row r="50" spans="1:7" ht="12.75">
      <c r="A50" s="16" t="s">
        <v>190</v>
      </c>
      <c r="B50" s="16"/>
      <c r="C50" s="95">
        <v>0</v>
      </c>
      <c r="D50" s="95">
        <f>'Fugitive Paint'!D23</f>
        <v>0</v>
      </c>
      <c r="E50" s="95">
        <v>0</v>
      </c>
      <c r="F50" s="16">
        <v>0</v>
      </c>
      <c r="G50" s="95">
        <v>0</v>
      </c>
    </row>
    <row r="51" spans="1:7" ht="12.75">
      <c r="A51" s="19" t="s">
        <v>92</v>
      </c>
      <c r="B51" s="16"/>
      <c r="C51" s="250">
        <f>SUM(C46:C50)</f>
        <v>60.374556</v>
      </c>
      <c r="D51" s="250">
        <f>SUM(D46:D50)</f>
        <v>5.114604</v>
      </c>
      <c r="E51" s="250">
        <f>SUM(E46:E50)</f>
        <v>16.16864</v>
      </c>
      <c r="F51" s="250">
        <f>SUM(F46:F50)</f>
        <v>1.36748</v>
      </c>
      <c r="G51" s="147">
        <f>SUM(G46:G50)</f>
        <v>5.1924600000000005</v>
      </c>
    </row>
    <row r="52" spans="1:7" ht="12.75">
      <c r="A52" s="19" t="s">
        <v>122</v>
      </c>
      <c r="B52" s="16"/>
      <c r="C52" s="16">
        <v>550</v>
      </c>
      <c r="D52" s="16">
        <v>75</v>
      </c>
      <c r="E52" s="16">
        <v>100</v>
      </c>
      <c r="F52" s="16">
        <v>150</v>
      </c>
      <c r="G52" s="16">
        <v>150</v>
      </c>
    </row>
    <row r="53" spans="1:7" ht="12.75">
      <c r="A53" s="19" t="s">
        <v>123</v>
      </c>
      <c r="B53" s="16"/>
      <c r="C53" s="18" t="s">
        <v>124</v>
      </c>
      <c r="D53" s="18" t="s">
        <v>124</v>
      </c>
      <c r="E53" s="18" t="s">
        <v>124</v>
      </c>
      <c r="F53" s="18" t="s">
        <v>124</v>
      </c>
      <c r="G53" s="18" t="s">
        <v>124</v>
      </c>
    </row>
    <row r="54" spans="1:7" ht="12.75">
      <c r="A54" s="224"/>
      <c r="B54" s="20"/>
      <c r="C54" s="26"/>
      <c r="D54" s="26"/>
      <c r="E54" s="26"/>
      <c r="F54" s="26"/>
      <c r="G54" s="26"/>
    </row>
    <row r="55" spans="2:3" ht="12.75">
      <c r="B55" s="203"/>
      <c r="C55" t="s">
        <v>222</v>
      </c>
    </row>
    <row r="57" ht="12.75">
      <c r="D57" s="148" t="s">
        <v>320</v>
      </c>
    </row>
  </sheetData>
  <sheetProtection/>
  <mergeCells count="9">
    <mergeCell ref="A42:B43"/>
    <mergeCell ref="C42:G42"/>
    <mergeCell ref="A1:G1"/>
    <mergeCell ref="A16:B17"/>
    <mergeCell ref="C16:G16"/>
    <mergeCell ref="A29:B30"/>
    <mergeCell ref="C29:G29"/>
    <mergeCell ref="A3:B4"/>
    <mergeCell ref="C3:G3"/>
  </mergeCells>
  <printOptions/>
  <pageMargins left="0.75" right="0.75" top="1" bottom="1" header="0.5" footer="0.5"/>
  <pageSetup horizontalDpi="600" verticalDpi="600" orientation="portrait" scale="83" r:id="rId1"/>
  <headerFooter alignWithMargins="0">
    <oddHeader>&amp;C&amp;"Arial,Bold"&amp;12Table B-18</oddHeader>
    <oddFooter>&amp;LN:\\2185\&amp;F:&amp;A&amp;R&amp;D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"/>
  <dimension ref="A2:N47"/>
  <sheetViews>
    <sheetView zoomScalePageLayoutView="0" workbookViewId="0" topLeftCell="A1">
      <selection activeCell="I40" sqref="I36:I40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2:14" ht="15.75" customHeight="1">
      <c r="B2" s="253" t="s">
        <v>213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3.5" thickTop="1">
      <c r="B4" s="66" t="s">
        <v>65</v>
      </c>
      <c r="C4" s="67"/>
      <c r="D4" s="67" t="s">
        <v>66</v>
      </c>
      <c r="E4" s="68"/>
      <c r="F4" s="69" t="s">
        <v>67</v>
      </c>
      <c r="G4" s="69"/>
      <c r="H4" s="11"/>
      <c r="I4" s="70"/>
      <c r="J4" s="71"/>
      <c r="K4" s="69" t="s">
        <v>68</v>
      </c>
      <c r="L4" s="72"/>
      <c r="M4" s="73"/>
      <c r="N4" s="12"/>
    </row>
    <row r="5" spans="2:14" ht="13.5" thickBot="1">
      <c r="B5" s="74" t="s">
        <v>5</v>
      </c>
      <c r="C5" s="94" t="s">
        <v>38</v>
      </c>
      <c r="D5" s="75" t="s">
        <v>69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6</v>
      </c>
      <c r="D6" s="81">
        <v>8</v>
      </c>
      <c r="E6" s="157">
        <f>+'CE Emission Factor Calcs'!J6</f>
        <v>0.19535999999999998</v>
      </c>
      <c r="F6" s="157">
        <f>+'CE Emission Factor Calcs'!K6</f>
        <v>0.035519999999999996</v>
      </c>
      <c r="G6" s="157">
        <f>+'CE Emission Factor Calcs'!L6</f>
        <v>0.31967999999999996</v>
      </c>
      <c r="H6" s="157">
        <f>+'CE Emission Factor Calcs'!M6</f>
        <v>0.035519999999999996</v>
      </c>
      <c r="I6" s="157">
        <f>+'CE Emission Factor Calcs'!N6</f>
        <v>0.017759999999999998</v>
      </c>
      <c r="J6" s="82">
        <f>$C6*$D6*E6</f>
        <v>9.377279999999999</v>
      </c>
      <c r="K6" s="82">
        <f>$C6*$D6*F6</f>
        <v>1.7049599999999998</v>
      </c>
      <c r="L6" s="82">
        <f>$C6*$D6*G6</f>
        <v>15.344639999999998</v>
      </c>
      <c r="M6" s="82">
        <f>$C6*$D6*H6</f>
        <v>1.7049599999999998</v>
      </c>
      <c r="N6" s="82">
        <f>$C6*$D6*I6</f>
        <v>0.8524799999999999</v>
      </c>
    </row>
    <row r="7" spans="2:14" ht="12.75">
      <c r="B7" s="83" t="s">
        <v>71</v>
      </c>
      <c r="C7" s="81">
        <v>0</v>
      </c>
      <c r="D7" s="81">
        <v>8</v>
      </c>
      <c r="E7" s="158">
        <f>'CE Emission Factor Calcs'!J7</f>
        <v>0.551025</v>
      </c>
      <c r="F7" s="157">
        <f>+'CE Emission Factor Calcs'!K7</f>
        <v>0.110205</v>
      </c>
      <c r="G7" s="157">
        <f>+'CE Emission Factor Calcs'!L7</f>
        <v>0.8081699999999999</v>
      </c>
      <c r="H7" s="157">
        <f>+'CE Emission Factor Calcs'!M7</f>
        <v>0.07347</v>
      </c>
      <c r="I7" s="157">
        <f>+'CE Emission Factor Calcs'!N7</f>
        <v>0.036735</v>
      </c>
      <c r="J7" s="82">
        <f aca="true" t="shared" si="0" ref="J7:J23">C7*D7*E7</f>
        <v>0</v>
      </c>
      <c r="K7" s="82">
        <f aca="true" t="shared" si="1" ref="K7:K23">$C7*$D7*F7</f>
        <v>0</v>
      </c>
      <c r="L7" s="82">
        <f aca="true" t="shared" si="2" ref="L7:L23">$C7*$D7*G7</f>
        <v>0</v>
      </c>
      <c r="M7" s="82">
        <f aca="true" t="shared" si="3" ref="M7:M23">$C7*$D7*H7</f>
        <v>0</v>
      </c>
      <c r="N7" s="82">
        <f aca="true" t="shared" si="4" ref="N7:N23">$C7*$D7*I7</f>
        <v>0</v>
      </c>
    </row>
    <row r="8" spans="2:14" ht="12.75">
      <c r="B8" s="80" t="s">
        <v>72</v>
      </c>
      <c r="C8" s="18">
        <v>0</v>
      </c>
      <c r="D8" s="81">
        <v>8</v>
      </c>
      <c r="E8" s="158">
        <f>'CE Emission Factor Calcs'!J8</f>
        <v>0.667821</v>
      </c>
      <c r="F8" s="157">
        <f>+'CE Emission Factor Calcs'!K8</f>
        <v>0.121422</v>
      </c>
      <c r="G8" s="157">
        <f>+'CE Emission Factor Calcs'!L8</f>
        <v>1.396353</v>
      </c>
      <c r="H8" s="157">
        <f>+'CE Emission Factor Calcs'!M8</f>
        <v>0.121422</v>
      </c>
      <c r="I8" s="157">
        <f>+'CE Emission Factor Calcs'!N8</f>
        <v>0.060711</v>
      </c>
      <c r="J8" s="82">
        <f t="shared" si="0"/>
        <v>0</v>
      </c>
      <c r="K8" s="82">
        <f t="shared" si="1"/>
        <v>0</v>
      </c>
      <c r="L8" s="82">
        <f t="shared" si="2"/>
        <v>0</v>
      </c>
      <c r="M8" s="82">
        <f t="shared" si="3"/>
        <v>0</v>
      </c>
      <c r="N8" s="82">
        <f t="shared" si="4"/>
        <v>0</v>
      </c>
    </row>
    <row r="9" spans="2:14" ht="12.75">
      <c r="B9" s="80" t="s">
        <v>158</v>
      </c>
      <c r="C9" s="18">
        <v>0</v>
      </c>
      <c r="D9" s="81">
        <v>8</v>
      </c>
      <c r="E9" s="158">
        <f>'CE Emission Factor Calcs'!J9</f>
        <v>0.656502</v>
      </c>
      <c r="F9" s="157">
        <f>+'CE Emission Factor Calcs'!K9</f>
        <v>0.11936400000000001</v>
      </c>
      <c r="G9" s="157">
        <f>+'CE Emission Factor Calcs'!L9</f>
        <v>1.372686</v>
      </c>
      <c r="H9" s="157">
        <f>+'CE Emission Factor Calcs'!M9</f>
        <v>0.11936400000000001</v>
      </c>
      <c r="I9" s="157">
        <f>+'CE Emission Factor Calcs'!N9</f>
        <v>0.059682000000000006</v>
      </c>
      <c r="J9" s="82">
        <f t="shared" si="0"/>
        <v>0</v>
      </c>
      <c r="K9" s="82">
        <f t="shared" si="1"/>
        <v>0</v>
      </c>
      <c r="L9" s="82">
        <f t="shared" si="2"/>
        <v>0</v>
      </c>
      <c r="M9" s="82">
        <f t="shared" si="3"/>
        <v>0</v>
      </c>
      <c r="N9" s="82">
        <f t="shared" si="4"/>
        <v>0</v>
      </c>
    </row>
    <row r="10" spans="2:14" ht="12.75">
      <c r="B10" s="80" t="s">
        <v>74</v>
      </c>
      <c r="C10" s="18">
        <v>0</v>
      </c>
      <c r="D10" s="81">
        <v>8</v>
      </c>
      <c r="E10" s="157">
        <f>+'CE Emission Factor Calcs'!J10</f>
        <v>2.8552</v>
      </c>
      <c r="F10" s="157">
        <f>+'CE Emission Factor Calcs'!K10</f>
        <v>0.14792</v>
      </c>
      <c r="G10" s="157">
        <f>+'CE Emission Factor Calcs'!L10</f>
        <v>0.01376</v>
      </c>
      <c r="H10" s="157">
        <f>+'CE Emission Factor Calcs'!M10</f>
        <v>0.00172</v>
      </c>
      <c r="I10" s="157">
        <f>+'CE Emission Factor Calcs'!N10</f>
        <v>0.000172</v>
      </c>
      <c r="J10" s="82">
        <f t="shared" si="0"/>
        <v>0</v>
      </c>
      <c r="K10" s="82">
        <f t="shared" si="1"/>
        <v>0</v>
      </c>
      <c r="L10" s="82">
        <f t="shared" si="2"/>
        <v>0</v>
      </c>
      <c r="M10" s="82">
        <f t="shared" si="3"/>
        <v>0</v>
      </c>
      <c r="N10" s="82">
        <f t="shared" si="4"/>
        <v>0</v>
      </c>
    </row>
    <row r="11" spans="2:14" ht="12.75">
      <c r="B11" s="80" t="s">
        <v>75</v>
      </c>
      <c r="C11" s="18">
        <v>11</v>
      </c>
      <c r="D11" s="81">
        <v>8</v>
      </c>
      <c r="E11" s="157">
        <f>+'CE Emission Factor Calcs'!J11</f>
        <v>0.75078</v>
      </c>
      <c r="F11" s="157">
        <f>+'CE Emission Factor Calcs'!K11</f>
        <v>0.25026000000000004</v>
      </c>
      <c r="G11" s="157">
        <f>+'CE Emission Factor Calcs'!L11</f>
        <v>1.91866</v>
      </c>
      <c r="H11" s="157">
        <f>+'CE Emission Factor Calcs'!M11</f>
        <v>0.16684000000000002</v>
      </c>
      <c r="I11" s="157">
        <f>+'CE Emission Factor Calcs'!N11</f>
        <v>0.12513000000000002</v>
      </c>
      <c r="J11" s="82">
        <f t="shared" si="0"/>
        <v>66.06864</v>
      </c>
      <c r="K11" s="82">
        <f t="shared" si="1"/>
        <v>22.022880000000004</v>
      </c>
      <c r="L11" s="82">
        <f t="shared" si="2"/>
        <v>168.84208</v>
      </c>
      <c r="M11" s="82">
        <f t="shared" si="3"/>
        <v>14.681920000000002</v>
      </c>
      <c r="N11" s="82">
        <f t="shared" si="4"/>
        <v>11.011440000000002</v>
      </c>
    </row>
    <row r="12" spans="2:14" ht="12.75">
      <c r="B12" s="80" t="s">
        <v>125</v>
      </c>
      <c r="C12" s="18">
        <v>0</v>
      </c>
      <c r="D12" s="81">
        <v>8</v>
      </c>
      <c r="E12" s="157">
        <f>+'CE Emission Factor Calcs'!J13</f>
        <v>0.05244</v>
      </c>
      <c r="F12" s="157">
        <f>+'CE Emission Factor Calcs'!K13</f>
        <v>0.017480000000000002</v>
      </c>
      <c r="G12" s="157">
        <f>+'CE Emission Factor Calcs'!L13</f>
        <v>0.18354</v>
      </c>
      <c r="H12" s="157">
        <f>+'CE Emission Factor Calcs'!M13</f>
        <v>0.017480000000000002</v>
      </c>
      <c r="I12" s="157">
        <f>+'CE Emission Factor Calcs'!N13</f>
        <v>0.01311</v>
      </c>
      <c r="J12" s="82">
        <f t="shared" si="0"/>
        <v>0</v>
      </c>
      <c r="K12" s="82">
        <f t="shared" si="1"/>
        <v>0</v>
      </c>
      <c r="L12" s="82">
        <f t="shared" si="2"/>
        <v>0</v>
      </c>
      <c r="M12" s="82">
        <f t="shared" si="3"/>
        <v>0</v>
      </c>
      <c r="N12" s="82">
        <f t="shared" si="4"/>
        <v>0</v>
      </c>
    </row>
    <row r="13" spans="2:14" ht="12.75">
      <c r="B13" s="80" t="s">
        <v>126</v>
      </c>
      <c r="C13" s="18">
        <v>1</v>
      </c>
      <c r="D13" s="81">
        <v>8</v>
      </c>
      <c r="E13" s="157">
        <f>+'CE Emission Factor Calcs'!J14</f>
        <v>0.05244</v>
      </c>
      <c r="F13" s="157">
        <f>+'CE Emission Factor Calcs'!K14</f>
        <v>0.017480000000000002</v>
      </c>
      <c r="G13" s="157">
        <f>+'CE Emission Factor Calcs'!L14</f>
        <v>0.18354</v>
      </c>
      <c r="H13" s="157">
        <f>+'CE Emission Factor Calcs'!M14</f>
        <v>0.017480000000000002</v>
      </c>
      <c r="I13" s="157">
        <f>+'CE Emission Factor Calcs'!N14</f>
        <v>0.01311</v>
      </c>
      <c r="J13" s="82">
        <f t="shared" si="0"/>
        <v>0.41952</v>
      </c>
      <c r="K13" s="82">
        <f t="shared" si="1"/>
        <v>0.13984000000000002</v>
      </c>
      <c r="L13" s="82">
        <f t="shared" si="2"/>
        <v>1.46832</v>
      </c>
      <c r="M13" s="82">
        <f t="shared" si="3"/>
        <v>0.13984000000000002</v>
      </c>
      <c r="N13" s="82">
        <f t="shared" si="4"/>
        <v>0.10488</v>
      </c>
    </row>
    <row r="14" spans="2:14" ht="12.75">
      <c r="B14" s="80" t="s">
        <v>127</v>
      </c>
      <c r="C14" s="18">
        <v>0</v>
      </c>
      <c r="D14" s="81">
        <v>8</v>
      </c>
      <c r="E14" s="157">
        <f>+'CE Emission Factor Calcs'!J15</f>
        <v>0.05244</v>
      </c>
      <c r="F14" s="157">
        <f>+'CE Emission Factor Calcs'!K15</f>
        <v>0.017480000000000002</v>
      </c>
      <c r="G14" s="157">
        <f>+'CE Emission Factor Calcs'!L15</f>
        <v>0.18354</v>
      </c>
      <c r="H14" s="157">
        <f>+'CE Emission Factor Calcs'!M15</f>
        <v>0.017480000000000002</v>
      </c>
      <c r="I14" s="157">
        <f>+'CE Emission Factor Calcs'!N15</f>
        <v>0.01311</v>
      </c>
      <c r="J14" s="82">
        <f t="shared" si="0"/>
        <v>0</v>
      </c>
      <c r="K14" s="82">
        <f t="shared" si="1"/>
        <v>0</v>
      </c>
      <c r="L14" s="82">
        <f t="shared" si="2"/>
        <v>0</v>
      </c>
      <c r="M14" s="82">
        <f t="shared" si="3"/>
        <v>0</v>
      </c>
      <c r="N14" s="82">
        <f t="shared" si="4"/>
        <v>0</v>
      </c>
    </row>
    <row r="15" spans="2:14" ht="12.75">
      <c r="B15" s="80" t="s">
        <v>154</v>
      </c>
      <c r="C15" s="18">
        <v>1</v>
      </c>
      <c r="D15" s="81">
        <v>8</v>
      </c>
      <c r="E15" s="157">
        <f>+'CE Emission Factor Calcs'!J16</f>
        <v>3.0627</v>
      </c>
      <c r="F15" s="157">
        <f>+'CE Emission Factor Calcs'!K16</f>
        <v>0.15866999999999998</v>
      </c>
      <c r="G15" s="157">
        <f>+'CE Emission Factor Calcs'!L16</f>
        <v>0.01476</v>
      </c>
      <c r="H15" s="157">
        <f>+'CE Emission Factor Calcs'!M16</f>
        <v>0.001845</v>
      </c>
      <c r="I15" s="157">
        <f>+'CE Emission Factor Calcs'!N16</f>
        <v>0.0009225</v>
      </c>
      <c r="J15" s="82">
        <f t="shared" si="0"/>
        <v>24.5016</v>
      </c>
      <c r="K15" s="82">
        <f t="shared" si="1"/>
        <v>1.2693599999999998</v>
      </c>
      <c r="L15" s="82">
        <f t="shared" si="2"/>
        <v>0.11808</v>
      </c>
      <c r="M15" s="82">
        <f t="shared" si="3"/>
        <v>0.01476</v>
      </c>
      <c r="N15" s="82">
        <f t="shared" si="4"/>
        <v>0.00738</v>
      </c>
    </row>
    <row r="16" spans="2:14" ht="12.75">
      <c r="B16" s="80" t="s">
        <v>160</v>
      </c>
      <c r="C16" s="18">
        <v>2</v>
      </c>
      <c r="D16" s="81">
        <v>8</v>
      </c>
      <c r="E16" s="157">
        <f>+'CE Emission Factor Calcs'!J17</f>
        <v>1.8</v>
      </c>
      <c r="F16" s="157">
        <f>+'CE Emission Factor Calcs'!K17</f>
        <v>0.19</v>
      </c>
      <c r="G16" s="157">
        <f>+'CE Emission Factor Calcs'!L17</f>
        <v>4.17</v>
      </c>
      <c r="H16" s="157">
        <f>+'CE Emission Factor Calcs'!M17</f>
        <v>0.45</v>
      </c>
      <c r="I16" s="157">
        <f>+'CE Emission Factor Calcs'!N17</f>
        <v>0.26</v>
      </c>
      <c r="J16" s="82">
        <f t="shared" si="0"/>
        <v>28.8</v>
      </c>
      <c r="K16" s="82">
        <f t="shared" si="1"/>
        <v>3.04</v>
      </c>
      <c r="L16" s="82">
        <f t="shared" si="2"/>
        <v>66.72</v>
      </c>
      <c r="M16" s="82">
        <f t="shared" si="3"/>
        <v>7.2</v>
      </c>
      <c r="N16" s="82">
        <f t="shared" si="4"/>
        <v>4.16</v>
      </c>
    </row>
    <row r="17" spans="2:14" ht="12.75">
      <c r="B17" s="80" t="s">
        <v>166</v>
      </c>
      <c r="C17" s="18">
        <v>0</v>
      </c>
      <c r="D17" s="81">
        <v>8</v>
      </c>
      <c r="E17" s="157">
        <f>+'CE Emission Factor Calcs'!J18</f>
        <v>3.58</v>
      </c>
      <c r="F17" s="157">
        <f>+'CE Emission Factor Calcs'!K18</f>
        <v>0.18</v>
      </c>
      <c r="G17" s="157">
        <f>+'CE Emission Factor Calcs'!L18</f>
        <v>1.27</v>
      </c>
      <c r="H17" s="157">
        <f>+'CE Emission Factor Calcs'!M18</f>
        <v>0.09</v>
      </c>
      <c r="I17" s="157">
        <f>+'CE Emission Factor Calcs'!N18</f>
        <v>0.14</v>
      </c>
      <c r="J17" s="82">
        <f t="shared" si="0"/>
        <v>0</v>
      </c>
      <c r="K17" s="82">
        <f t="shared" si="1"/>
        <v>0</v>
      </c>
      <c r="L17" s="82">
        <f t="shared" si="2"/>
        <v>0</v>
      </c>
      <c r="M17" s="82">
        <f t="shared" si="3"/>
        <v>0</v>
      </c>
      <c r="N17" s="82">
        <f t="shared" si="4"/>
        <v>0</v>
      </c>
    </row>
    <row r="18" spans="2:14" ht="12.75">
      <c r="B18" s="80" t="s">
        <v>76</v>
      </c>
      <c r="C18" s="18">
        <v>0</v>
      </c>
      <c r="D18" s="81">
        <v>8</v>
      </c>
      <c r="E18" s="157">
        <f>+'CE Emission Factor Calcs'!J19</f>
        <v>0.572</v>
      </c>
      <c r="F18" s="157">
        <f>+'CE Emission Factor Calcs'!K19</f>
        <v>0.23</v>
      </c>
      <c r="G18" s="157">
        <f>+'CE Emission Factor Calcs'!L19</f>
        <v>1.9</v>
      </c>
      <c r="H18" s="157">
        <f>+'CE Emission Factor Calcs'!M19</f>
        <v>0.182</v>
      </c>
      <c r="I18" s="157">
        <f>+'CE Emission Factor Calcs'!N19</f>
        <v>0.17</v>
      </c>
      <c r="J18" s="82">
        <f t="shared" si="0"/>
        <v>0</v>
      </c>
      <c r="K18" s="82">
        <f t="shared" si="1"/>
        <v>0</v>
      </c>
      <c r="L18" s="82">
        <f t="shared" si="2"/>
        <v>0</v>
      </c>
      <c r="M18" s="82">
        <f t="shared" si="3"/>
        <v>0</v>
      </c>
      <c r="N18" s="82">
        <f t="shared" si="4"/>
        <v>0</v>
      </c>
    </row>
    <row r="19" spans="2:14" ht="12.75">
      <c r="B19" s="80" t="s">
        <v>77</v>
      </c>
      <c r="C19" s="18">
        <v>26</v>
      </c>
      <c r="D19" s="81">
        <v>8</v>
      </c>
      <c r="E19" s="157">
        <f>+'CE Emission Factor Calcs'!J20</f>
        <v>0.28229499999999996</v>
      </c>
      <c r="F19" s="157">
        <f>+'CE Emission Factor Calcs'!K20</f>
        <v>0.065145</v>
      </c>
      <c r="G19" s="157">
        <f>+'CE Emission Factor Calcs'!L20</f>
        <v>0.673165</v>
      </c>
      <c r="H19" s="157">
        <f>+'CE Emission Factor Calcs'!M20</f>
        <v>0.04343</v>
      </c>
      <c r="I19" s="157">
        <f>+'CE Emission Factor Calcs'!N20</f>
        <v>0.0325725</v>
      </c>
      <c r="J19" s="82">
        <f t="shared" si="0"/>
        <v>58.71735999999999</v>
      </c>
      <c r="K19" s="82">
        <f t="shared" si="1"/>
        <v>13.550159999999998</v>
      </c>
      <c r="L19" s="82">
        <f t="shared" si="2"/>
        <v>140.01832000000002</v>
      </c>
      <c r="M19" s="82">
        <f t="shared" si="3"/>
        <v>9.03344</v>
      </c>
      <c r="N19" s="82">
        <f t="shared" si="4"/>
        <v>6.775079999999999</v>
      </c>
    </row>
    <row r="20" spans="2:14" ht="12.75">
      <c r="B20" s="80" t="s">
        <v>78</v>
      </c>
      <c r="C20" s="18">
        <v>0</v>
      </c>
      <c r="D20" s="81">
        <v>8</v>
      </c>
      <c r="E20" s="157">
        <f>+'CE Emission Factor Calcs'!J21</f>
        <v>0.151</v>
      </c>
      <c r="F20" s="157">
        <f>+'CE Emission Factor Calcs'!K21</f>
        <v>0.039</v>
      </c>
      <c r="G20" s="157">
        <f>+'CE Emission Factor Calcs'!L21</f>
        <v>0.713</v>
      </c>
      <c r="H20" s="157">
        <f>+'CE Emission Factor Calcs'!M21</f>
        <v>0.086</v>
      </c>
      <c r="I20" s="157">
        <f>+'CE Emission Factor Calcs'!N21</f>
        <v>0.061</v>
      </c>
      <c r="J20" s="82">
        <f t="shared" si="0"/>
        <v>0</v>
      </c>
      <c r="K20" s="82">
        <f t="shared" si="1"/>
        <v>0</v>
      </c>
      <c r="L20" s="82">
        <f t="shared" si="2"/>
        <v>0</v>
      </c>
      <c r="M20" s="82">
        <f t="shared" si="3"/>
        <v>0</v>
      </c>
      <c r="N20" s="82">
        <f t="shared" si="4"/>
        <v>0</v>
      </c>
    </row>
    <row r="21" spans="2:14" ht="12.75">
      <c r="B21" s="80" t="s">
        <v>79</v>
      </c>
      <c r="C21" s="18">
        <v>1</v>
      </c>
      <c r="D21" s="81">
        <v>8</v>
      </c>
      <c r="E21" s="157">
        <f>+'CE Emission Factor Calcs'!J22</f>
        <v>0.8059999999999999</v>
      </c>
      <c r="F21" s="157">
        <f>+'CE Emission Factor Calcs'!K22</f>
        <v>0.16119999999999998</v>
      </c>
      <c r="G21" s="157">
        <f>+'CE Emission Factor Calcs'!L22</f>
        <v>1.7731999999999997</v>
      </c>
      <c r="H21" s="157">
        <f>+'CE Emission Factor Calcs'!M22</f>
        <v>0.16119999999999998</v>
      </c>
      <c r="I21" s="157">
        <f>+'CE Emission Factor Calcs'!N22</f>
        <v>0.08059999999999999</v>
      </c>
      <c r="J21" s="82">
        <f t="shared" si="0"/>
        <v>6.4479999999999995</v>
      </c>
      <c r="K21" s="82">
        <f t="shared" si="1"/>
        <v>1.2895999999999999</v>
      </c>
      <c r="L21" s="82">
        <f t="shared" si="2"/>
        <v>14.185599999999997</v>
      </c>
      <c r="M21" s="82">
        <f t="shared" si="3"/>
        <v>1.2895999999999999</v>
      </c>
      <c r="N21" s="82">
        <f t="shared" si="4"/>
        <v>0.6447999999999999</v>
      </c>
    </row>
    <row r="22" spans="2:14" ht="12.75">
      <c r="B22" s="80" t="s">
        <v>80</v>
      </c>
      <c r="C22" s="18">
        <v>0</v>
      </c>
      <c r="D22" s="81">
        <v>8</v>
      </c>
      <c r="E22" s="157">
        <f>+'CE Emission Factor Calcs'!J23</f>
        <v>0.675</v>
      </c>
      <c r="F22" s="157">
        <f>+'CE Emission Factor Calcs'!K23</f>
        <v>0.15</v>
      </c>
      <c r="G22" s="157">
        <f>+'CE Emission Factor Calcs'!L23</f>
        <v>1.7</v>
      </c>
      <c r="H22" s="157">
        <f>+'CE Emission Factor Calcs'!M23</f>
        <v>0.143</v>
      </c>
      <c r="I22" s="157">
        <f>+'CE Emission Factor Calcs'!N23</f>
        <v>0.14</v>
      </c>
      <c r="J22" s="82">
        <f t="shared" si="0"/>
        <v>0</v>
      </c>
      <c r="K22" s="82">
        <f t="shared" si="1"/>
        <v>0</v>
      </c>
      <c r="L22" s="82">
        <f t="shared" si="2"/>
        <v>0</v>
      </c>
      <c r="M22" s="82">
        <f t="shared" si="3"/>
        <v>0</v>
      </c>
      <c r="N22" s="82">
        <f t="shared" si="4"/>
        <v>0</v>
      </c>
    </row>
    <row r="23" spans="2:14" ht="12.75">
      <c r="B23" s="80" t="s">
        <v>81</v>
      </c>
      <c r="C23" s="18">
        <v>0</v>
      </c>
      <c r="D23" s="81">
        <v>8</v>
      </c>
      <c r="E23" s="157">
        <f>+'CE Emission Factor Calcs'!J24</f>
        <v>0.834</v>
      </c>
      <c r="F23" s="157">
        <f>+'CE Emission Factor Calcs'!K24</f>
        <v>0.1251</v>
      </c>
      <c r="G23" s="157">
        <f>+'CE Emission Factor Calcs'!L24</f>
        <v>0.9173999999999999</v>
      </c>
      <c r="H23" s="157">
        <f>+'CE Emission Factor Calcs'!M24</f>
        <v>0.08339999999999999</v>
      </c>
      <c r="I23" s="157">
        <f>+'CE Emission Factor Calcs'!N24</f>
        <v>0.06255</v>
      </c>
      <c r="J23" s="82">
        <f t="shared" si="0"/>
        <v>0</v>
      </c>
      <c r="K23" s="82">
        <f t="shared" si="1"/>
        <v>0</v>
      </c>
      <c r="L23" s="82">
        <f t="shared" si="2"/>
        <v>0</v>
      </c>
      <c r="M23" s="82">
        <f t="shared" si="3"/>
        <v>0</v>
      </c>
      <c r="N23" s="82">
        <f t="shared" si="4"/>
        <v>0</v>
      </c>
    </row>
    <row r="24" spans="1:14" ht="12.75" customHeight="1">
      <c r="A24" s="339" t="s">
        <v>321</v>
      </c>
      <c r="B24" s="80"/>
      <c r="C24" s="18"/>
      <c r="D24" s="81"/>
      <c r="E24" s="157"/>
      <c r="F24" s="157"/>
      <c r="G24" s="157"/>
      <c r="H24" s="157"/>
      <c r="I24" s="157"/>
      <c r="J24" s="82"/>
      <c r="K24" s="82"/>
      <c r="L24" s="82"/>
      <c r="M24" s="82"/>
      <c r="N24" s="82"/>
    </row>
    <row r="25" spans="1:14" ht="12.75">
      <c r="A25" s="339"/>
      <c r="B25" s="80" t="s">
        <v>167</v>
      </c>
      <c r="C25" s="18">
        <v>6</v>
      </c>
      <c r="D25" s="81">
        <v>8</v>
      </c>
      <c r="E25" s="157">
        <f>+'CE Emission Factor Calcs'!J26</f>
        <v>0.9718499999999999</v>
      </c>
      <c r="F25" s="157">
        <f>+'CE Emission Factor Calcs'!K26</f>
        <v>0.132525</v>
      </c>
      <c r="G25" s="157">
        <f>+'CE Emission Factor Calcs'!L26</f>
        <v>0.7951499999999999</v>
      </c>
      <c r="H25" s="157">
        <f>+'CE Emission Factor Calcs'!M26</f>
        <v>0.08835</v>
      </c>
      <c r="I25" s="157">
        <f>+'CE Emission Factor Calcs'!N26</f>
        <v>0.0662625</v>
      </c>
      <c r="J25" s="82">
        <f>C25*D25*E25</f>
        <v>46.648799999999994</v>
      </c>
      <c r="K25" s="82">
        <f aca="true" t="shared" si="5" ref="K25:N27">$C25*$D25*F25</f>
        <v>6.3612</v>
      </c>
      <c r="L25" s="82">
        <f t="shared" si="5"/>
        <v>38.167199999999994</v>
      </c>
      <c r="M25" s="82">
        <f t="shared" si="5"/>
        <v>4.2408</v>
      </c>
      <c r="N25" s="82">
        <f t="shared" si="5"/>
        <v>3.1806</v>
      </c>
    </row>
    <row r="26" spans="1:14" ht="15">
      <c r="A26" s="339"/>
      <c r="B26" s="80" t="s">
        <v>214</v>
      </c>
      <c r="C26" s="18">
        <v>3</v>
      </c>
      <c r="D26" s="81">
        <v>8</v>
      </c>
      <c r="E26" s="157">
        <f>+'CE Emission Factor Calcs'!J27</f>
        <v>12.973788</v>
      </c>
      <c r="F26" s="157">
        <f>+'CE Emission Factor Calcs'!K27</f>
        <v>0.473688</v>
      </c>
      <c r="G26" s="157">
        <f>+'CE Emission Factor Calcs'!L27</f>
        <v>0.017544</v>
      </c>
      <c r="H26" s="157">
        <f>+'CE Emission Factor Calcs'!M27</f>
        <v>0.0052632</v>
      </c>
      <c r="I26" s="157">
        <f>+'CE Emission Factor Calcs'!N27</f>
        <v>0.002193</v>
      </c>
      <c r="J26" s="82">
        <f>C26*D26*E26</f>
        <v>311.37091200000003</v>
      </c>
      <c r="K26" s="82">
        <f t="shared" si="5"/>
        <v>11.368511999999999</v>
      </c>
      <c r="L26" s="82">
        <f t="shared" si="5"/>
        <v>0.421056</v>
      </c>
      <c r="M26" s="82">
        <f t="shared" si="5"/>
        <v>0.1263168</v>
      </c>
      <c r="N26" s="82">
        <f t="shared" si="5"/>
        <v>0.052632</v>
      </c>
    </row>
    <row r="27" spans="2:14" ht="15">
      <c r="B27" s="80" t="s">
        <v>215</v>
      </c>
      <c r="C27" s="18">
        <v>15</v>
      </c>
      <c r="D27" s="81">
        <v>8</v>
      </c>
      <c r="E27" s="157">
        <f>+'CE Emission Factor Calcs'!J28</f>
        <v>0.17325</v>
      </c>
      <c r="F27" s="157">
        <f>+'CE Emission Factor Calcs'!K28</f>
        <v>0.0315</v>
      </c>
      <c r="G27" s="157">
        <f>+'CE Emission Factor Calcs'!L28</f>
        <v>0.2835</v>
      </c>
      <c r="H27" s="157">
        <f>+'CE Emission Factor Calcs'!M28</f>
        <v>0.0315</v>
      </c>
      <c r="I27" s="157">
        <f>+'CE Emission Factor Calcs'!N28</f>
        <v>0.01575</v>
      </c>
      <c r="J27" s="82">
        <f>C27*D27*E27</f>
        <v>20.79</v>
      </c>
      <c r="K27" s="82">
        <f t="shared" si="5"/>
        <v>3.7800000000000002</v>
      </c>
      <c r="L27" s="82">
        <f t="shared" si="5"/>
        <v>34.019999999999996</v>
      </c>
      <c r="M27" s="82">
        <f t="shared" si="5"/>
        <v>3.7800000000000002</v>
      </c>
      <c r="N27" s="82">
        <f t="shared" si="5"/>
        <v>1.8900000000000001</v>
      </c>
    </row>
    <row r="28" spans="2:14" ht="12.75">
      <c r="B28" s="80"/>
      <c r="C28" s="18"/>
      <c r="D28" s="81"/>
      <c r="E28" s="157"/>
      <c r="F28" s="157"/>
      <c r="G28" s="157"/>
      <c r="H28" s="157"/>
      <c r="I28" s="157"/>
      <c r="J28" s="82"/>
      <c r="K28" s="82"/>
      <c r="L28" s="82"/>
      <c r="M28" s="82"/>
      <c r="N28" s="82"/>
    </row>
    <row r="29" spans="2:14" ht="12.75">
      <c r="B29" s="80"/>
      <c r="C29" s="18"/>
      <c r="D29" s="81"/>
      <c r="E29" s="157"/>
      <c r="F29" s="157"/>
      <c r="G29" s="157"/>
      <c r="H29" s="157"/>
      <c r="I29" s="157"/>
      <c r="J29" s="82"/>
      <c r="K29" s="82"/>
      <c r="L29" s="82"/>
      <c r="M29" s="82"/>
      <c r="N29" s="82"/>
    </row>
    <row r="30" spans="2:14" ht="12.75">
      <c r="B30" s="80" t="s">
        <v>157</v>
      </c>
      <c r="C30" s="18">
        <v>0</v>
      </c>
      <c r="D30" s="81">
        <v>8</v>
      </c>
      <c r="E30" s="157">
        <f>+'CE Emission Factor Calcs'!J31</f>
        <v>3.2536</v>
      </c>
      <c r="F30" s="157">
        <f>+'CE Emission Factor Calcs'!K31</f>
        <v>0.15680000000000002</v>
      </c>
      <c r="G30" s="157">
        <f>+'CE Emission Factor Calcs'!L31</f>
        <v>0.015680000000000003</v>
      </c>
      <c r="H30" s="157">
        <f>+'CE Emission Factor Calcs'!M31</f>
        <v>0.0019600000000000004</v>
      </c>
      <c r="I30" s="157">
        <f>+'CE Emission Factor Calcs'!N31</f>
        <v>0.0009800000000000002</v>
      </c>
      <c r="J30" s="82">
        <f aca="true" t="shared" si="6" ref="J30:J36">C30*D30*E30</f>
        <v>0</v>
      </c>
      <c r="K30" s="82">
        <f aca="true" t="shared" si="7" ref="K30:N36">$C30*$D30*F30</f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</row>
    <row r="31" spans="2:14" ht="12.75">
      <c r="B31" s="80" t="s">
        <v>322</v>
      </c>
      <c r="C31" s="18">
        <v>0</v>
      </c>
      <c r="D31" s="81">
        <v>8</v>
      </c>
      <c r="E31" s="157">
        <f>+'CE Emission Factor Calcs'!J32</f>
        <v>1.826</v>
      </c>
      <c r="F31" s="157">
        <f>+'CE Emission Factor Calcs'!K32</f>
        <v>0.0946</v>
      </c>
      <c r="G31" s="157">
        <f>+'CE Emission Factor Calcs'!L32</f>
        <v>0.0088</v>
      </c>
      <c r="H31" s="157">
        <f>+'CE Emission Factor Calcs'!M32</f>
        <v>0.0011</v>
      </c>
      <c r="I31" s="157">
        <f>+'CE Emission Factor Calcs'!N32</f>
        <v>0.00055</v>
      </c>
      <c r="J31" s="82">
        <f t="shared" si="6"/>
        <v>0</v>
      </c>
      <c r="K31" s="82">
        <f t="shared" si="7"/>
        <v>0</v>
      </c>
      <c r="L31" s="82">
        <f t="shared" si="7"/>
        <v>0</v>
      </c>
      <c r="M31" s="82">
        <f t="shared" si="7"/>
        <v>0</v>
      </c>
      <c r="N31" s="82">
        <f t="shared" si="7"/>
        <v>0</v>
      </c>
    </row>
    <row r="32" spans="2:14" ht="12.75">
      <c r="B32" s="80" t="s">
        <v>168</v>
      </c>
      <c r="C32" s="18">
        <v>0</v>
      </c>
      <c r="D32" s="81">
        <v>8</v>
      </c>
      <c r="E32" s="157">
        <f>+'CE Emission Factor Calcs'!J33</f>
        <v>0.3</v>
      </c>
      <c r="F32" s="157">
        <f>+'CE Emission Factor Calcs'!K33</f>
        <v>0.065</v>
      </c>
      <c r="G32" s="157">
        <f>+'CE Emission Factor Calcs'!L33</f>
        <v>0.87</v>
      </c>
      <c r="H32" s="157">
        <f>+'CE Emission Factor Calcs'!M33</f>
        <v>0.067</v>
      </c>
      <c r="I32" s="157">
        <f>+'CE Emission Factor Calcs'!N33</f>
        <v>0.05</v>
      </c>
      <c r="J32" s="82">
        <f t="shared" si="6"/>
        <v>0</v>
      </c>
      <c r="K32" s="82">
        <f t="shared" si="7"/>
        <v>0</v>
      </c>
      <c r="L32" s="82">
        <f t="shared" si="7"/>
        <v>0</v>
      </c>
      <c r="M32" s="82">
        <f t="shared" si="7"/>
        <v>0</v>
      </c>
      <c r="N32" s="82">
        <f t="shared" si="7"/>
        <v>0</v>
      </c>
    </row>
    <row r="33" spans="2:14" ht="12.75">
      <c r="B33" s="80" t="s">
        <v>155</v>
      </c>
      <c r="C33" s="18">
        <v>0</v>
      </c>
      <c r="D33" s="81">
        <v>8</v>
      </c>
      <c r="E33" s="157">
        <f>+'CE Emission Factor Calcs'!J34</f>
        <v>13.41</v>
      </c>
      <c r="F33" s="157">
        <f>+'CE Emission Factor Calcs'!K34</f>
        <v>0.59</v>
      </c>
      <c r="G33" s="157">
        <f>+'CE Emission Factor Calcs'!L34</f>
        <v>0.362</v>
      </c>
      <c r="H33" s="157">
        <f>+'CE Emission Factor Calcs'!M34</f>
        <v>0.0185</v>
      </c>
      <c r="I33" s="157">
        <f>+'CE Emission Factor Calcs'!N34</f>
        <v>0.026</v>
      </c>
      <c r="J33" s="82">
        <f t="shared" si="6"/>
        <v>0</v>
      </c>
      <c r="K33" s="82">
        <f t="shared" si="7"/>
        <v>0</v>
      </c>
      <c r="L33" s="82">
        <f t="shared" si="7"/>
        <v>0</v>
      </c>
      <c r="M33" s="82">
        <f t="shared" si="7"/>
        <v>0</v>
      </c>
      <c r="N33" s="82">
        <f t="shared" si="7"/>
        <v>0</v>
      </c>
    </row>
    <row r="34" spans="2:14" ht="12.75">
      <c r="B34" s="80" t="s">
        <v>84</v>
      </c>
      <c r="C34" s="18">
        <v>0</v>
      </c>
      <c r="D34" s="81">
        <v>8</v>
      </c>
      <c r="E34" s="157">
        <f>+'CE Emission Factor Calcs'!J35</f>
        <v>0.675</v>
      </c>
      <c r="F34" s="157">
        <f>+'CE Emission Factor Calcs'!K35</f>
        <v>0.15</v>
      </c>
      <c r="G34" s="157">
        <f>+'CE Emission Factor Calcs'!L35</f>
        <v>1.7</v>
      </c>
      <c r="H34" s="157">
        <f>+'CE Emission Factor Calcs'!M35</f>
        <v>0.143</v>
      </c>
      <c r="I34" s="157">
        <f>+'CE Emission Factor Calcs'!N35</f>
        <v>0.14</v>
      </c>
      <c r="J34" s="82">
        <f t="shared" si="6"/>
        <v>0</v>
      </c>
      <c r="K34" s="82">
        <f t="shared" si="7"/>
        <v>0</v>
      </c>
      <c r="L34" s="82">
        <f t="shared" si="7"/>
        <v>0</v>
      </c>
      <c r="M34" s="82">
        <f t="shared" si="7"/>
        <v>0</v>
      </c>
      <c r="N34" s="82">
        <f t="shared" si="7"/>
        <v>0</v>
      </c>
    </row>
    <row r="35" spans="2:14" ht="12.75">
      <c r="B35" s="80" t="s">
        <v>85</v>
      </c>
      <c r="C35" s="181">
        <v>0</v>
      </c>
      <c r="D35" s="81">
        <v>8</v>
      </c>
      <c r="E35" s="157">
        <f>+'CE Emission Factor Calcs'!J36</f>
        <v>0.675</v>
      </c>
      <c r="F35" s="157">
        <f>+'CE Emission Factor Calcs'!K36</f>
        <v>0.15</v>
      </c>
      <c r="G35" s="157">
        <f>+'CE Emission Factor Calcs'!L36</f>
        <v>1.7</v>
      </c>
      <c r="H35" s="157">
        <f>+'CE Emission Factor Calcs'!M36</f>
        <v>0.143</v>
      </c>
      <c r="I35" s="157">
        <f>+'CE Emission Factor Calcs'!N36</f>
        <v>0.14</v>
      </c>
      <c r="J35" s="82">
        <f t="shared" si="6"/>
        <v>0</v>
      </c>
      <c r="K35" s="82">
        <f t="shared" si="7"/>
        <v>0</v>
      </c>
      <c r="L35" s="82">
        <f t="shared" si="7"/>
        <v>0</v>
      </c>
      <c r="M35" s="82">
        <f t="shared" si="7"/>
        <v>0</v>
      </c>
      <c r="N35" s="82">
        <f t="shared" si="7"/>
        <v>0</v>
      </c>
    </row>
    <row r="36" spans="2:14" ht="13.5" thickBot="1">
      <c r="B36" s="84" t="s">
        <v>324</v>
      </c>
      <c r="C36" s="85">
        <v>0</v>
      </c>
      <c r="D36" s="85">
        <v>8</v>
      </c>
      <c r="E36" s="197">
        <f>+'CE Emission Factor Calcs'!J37</f>
        <v>3.2535999999999996</v>
      </c>
      <c r="F36" s="197">
        <f>+'CE Emission Factor Calcs'!K37</f>
        <v>0.16856</v>
      </c>
      <c r="G36" s="197">
        <f>+'CE Emission Factor Calcs'!L37</f>
        <v>0.01568</v>
      </c>
      <c r="H36" s="197">
        <f>+'CE Emission Factor Calcs'!M37</f>
        <v>0.00196</v>
      </c>
      <c r="I36" s="198">
        <f>+'CE Emission Factor Calcs'!N37</f>
        <v>0.00098</v>
      </c>
      <c r="J36" s="199">
        <f t="shared" si="6"/>
        <v>0</v>
      </c>
      <c r="K36" s="199">
        <f t="shared" si="7"/>
        <v>0</v>
      </c>
      <c r="L36" s="199">
        <f t="shared" si="7"/>
        <v>0</v>
      </c>
      <c r="M36" s="199">
        <f t="shared" si="7"/>
        <v>0</v>
      </c>
      <c r="N36" s="200">
        <f t="shared" si="7"/>
        <v>0</v>
      </c>
    </row>
    <row r="37" spans="2:14" ht="13.5" thickBot="1">
      <c r="B37" s="83"/>
      <c r="C37" s="86"/>
      <c r="D37" s="86"/>
      <c r="E37" s="86"/>
      <c r="F37" s="86"/>
      <c r="G37" s="86"/>
      <c r="H37" s="86"/>
      <c r="I37" s="85"/>
      <c r="J37" s="85"/>
      <c r="K37" s="85"/>
      <c r="L37" s="85"/>
      <c r="M37" s="85"/>
      <c r="N37" s="85"/>
    </row>
    <row r="38" spans="2:14" ht="13.5" thickBot="1">
      <c r="B38" s="87" t="s">
        <v>86</v>
      </c>
      <c r="C38" s="88"/>
      <c r="D38" s="88"/>
      <c r="E38" s="88"/>
      <c r="F38" s="88"/>
      <c r="G38" s="88"/>
      <c r="H38" s="88"/>
      <c r="I38" s="88"/>
      <c r="J38" s="89">
        <f>SUM(J6:J36)</f>
        <v>573.142112</v>
      </c>
      <c r="K38" s="89">
        <f>SUM(K6:K36)</f>
        <v>64.526512</v>
      </c>
      <c r="L38" s="184">
        <f>SUM(L6:L36)</f>
        <v>479.305296</v>
      </c>
      <c r="M38" s="89">
        <f>SUM(M6:M36)</f>
        <v>42.2116368</v>
      </c>
      <c r="N38" s="92">
        <f>SUM(N6:N36)</f>
        <v>28.679292</v>
      </c>
    </row>
    <row r="39" spans="2:14" ht="14.25" thickBot="1" thickTop="1">
      <c r="B39" s="93" t="s">
        <v>5</v>
      </c>
      <c r="C39" s="149"/>
      <c r="D39" s="90"/>
      <c r="E39" s="90"/>
      <c r="F39" s="10"/>
      <c r="G39" s="10"/>
      <c r="H39" s="10"/>
      <c r="I39" s="10"/>
      <c r="J39" s="146"/>
      <c r="K39" s="146"/>
      <c r="L39" s="146"/>
      <c r="M39" s="142"/>
      <c r="N39" s="143"/>
    </row>
    <row r="40" spans="10:14" ht="13.5" thickTop="1">
      <c r="J40" s="23"/>
      <c r="K40" s="23"/>
      <c r="L40" s="23"/>
      <c r="M40" s="23"/>
      <c r="N40" s="23"/>
    </row>
    <row r="41" ht="12.75">
      <c r="B41" s="13" t="s">
        <v>87</v>
      </c>
    </row>
    <row r="42" spans="2:5" ht="12.75">
      <c r="B42" s="13" t="s">
        <v>88</v>
      </c>
      <c r="E42" s="13" t="s">
        <v>89</v>
      </c>
    </row>
    <row r="43" ht="12.75">
      <c r="B43" s="13" t="s">
        <v>90</v>
      </c>
    </row>
    <row r="44" spans="2:6" ht="12.75">
      <c r="B44" s="13" t="s">
        <v>91</v>
      </c>
      <c r="C44" s="150"/>
      <c r="D44" s="13"/>
      <c r="E44" s="13"/>
      <c r="F44" s="91"/>
    </row>
    <row r="45" ht="12.75">
      <c r="B45" s="13" t="s">
        <v>216</v>
      </c>
    </row>
    <row r="46" spans="2:14" ht="12.75">
      <c r="B46" s="13" t="s">
        <v>217</v>
      </c>
      <c r="N46" s="57"/>
    </row>
    <row r="47" ht="12.75">
      <c r="B47" s="13"/>
    </row>
  </sheetData>
  <sheetProtection/>
  <mergeCells count="2">
    <mergeCell ref="B2:N2"/>
    <mergeCell ref="A24:A26"/>
  </mergeCells>
  <conditionalFormatting sqref="M40:N40 J40">
    <cfRule type="cellIs" priority="1" dxfId="0" operator="greaterThanOrEqual" stopIfTrue="1">
      <formula>$J$41</formula>
    </cfRule>
  </conditionalFormatting>
  <conditionalFormatting sqref="L40">
    <cfRule type="cellIs" priority="2" dxfId="0" operator="greaterThanOrEqual" stopIfTrue="1">
      <formula>$L$41</formula>
    </cfRule>
  </conditionalFormatting>
  <conditionalFormatting sqref="K40">
    <cfRule type="cellIs" priority="3" dxfId="0" operator="greaterThanOrEqual" stopIfTrue="1">
      <formula>$K$41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B-19
Construction Equipment Mitigated Emissions for the Ultramar Alkylation Improvement Project 
</oddHeader>
    <oddFooter>&amp;L&amp;8N:\\2185\&amp;F:&amp;A&amp;R&amp;8&amp;D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N47"/>
  <sheetViews>
    <sheetView zoomScalePageLayoutView="0" workbookViewId="0" topLeftCell="A13">
      <selection activeCell="A24" sqref="A24:A25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1:14" ht="15.75" customHeight="1">
      <c r="A2" s="253" t="s">
        <v>169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3.5" thickTop="1">
      <c r="B4" s="66" t="s">
        <v>65</v>
      </c>
      <c r="C4" s="67"/>
      <c r="D4" s="67" t="s">
        <v>66</v>
      </c>
      <c r="E4" s="68"/>
      <c r="F4" s="69" t="s">
        <v>67</v>
      </c>
      <c r="G4" s="69"/>
      <c r="H4" s="11"/>
      <c r="I4" s="70"/>
      <c r="J4" s="71"/>
      <c r="K4" s="69" t="s">
        <v>68</v>
      </c>
      <c r="L4" s="72"/>
      <c r="M4" s="73"/>
      <c r="N4" s="12"/>
    </row>
    <row r="5" spans="2:14" ht="13.5" thickBot="1">
      <c r="B5" s="74" t="s">
        <v>5</v>
      </c>
      <c r="C5" s="94" t="s">
        <v>38</v>
      </c>
      <c r="D5" s="75" t="s">
        <v>69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2</v>
      </c>
      <c r="D6" s="81">
        <v>8</v>
      </c>
      <c r="E6" s="157">
        <f>+'CE Emission Factor Calcs'!J6</f>
        <v>0.19535999999999998</v>
      </c>
      <c r="F6" s="157">
        <f>+'CE Emission Factor Calcs'!K6</f>
        <v>0.035519999999999996</v>
      </c>
      <c r="G6" s="157">
        <f>+'CE Emission Factor Calcs'!L6</f>
        <v>0.31967999999999996</v>
      </c>
      <c r="H6" s="157">
        <f>+'CE Emission Factor Calcs'!M6</f>
        <v>0.035519999999999996</v>
      </c>
      <c r="I6" s="157">
        <f>+'CE Emission Factor Calcs'!N6</f>
        <v>0.017759999999999998</v>
      </c>
      <c r="J6" s="82">
        <f>$C6*$D6*E6</f>
        <v>3.1257599999999996</v>
      </c>
      <c r="K6" s="82">
        <f aca="true" t="shared" si="0" ref="K6:N21">$C6*$D6*F6</f>
        <v>0.5683199999999999</v>
      </c>
      <c r="L6" s="82">
        <f t="shared" si="0"/>
        <v>5.114879999999999</v>
      </c>
      <c r="M6" s="82">
        <f t="shared" si="0"/>
        <v>0.5683199999999999</v>
      </c>
      <c r="N6" s="82">
        <f t="shared" si="0"/>
        <v>0.28415999999999997</v>
      </c>
    </row>
    <row r="7" spans="2:14" ht="12.75">
      <c r="B7" s="83" t="s">
        <v>71</v>
      </c>
      <c r="C7" s="81">
        <v>3</v>
      </c>
      <c r="D7" s="81">
        <v>8</v>
      </c>
      <c r="E7" s="158">
        <f>'CE Emission Factor Calcs'!J7</f>
        <v>0.551025</v>
      </c>
      <c r="F7" s="157">
        <f>+'CE Emission Factor Calcs'!K7</f>
        <v>0.110205</v>
      </c>
      <c r="G7" s="157">
        <f>+'CE Emission Factor Calcs'!L7</f>
        <v>0.8081699999999999</v>
      </c>
      <c r="H7" s="157">
        <f>+'CE Emission Factor Calcs'!M7</f>
        <v>0.07347</v>
      </c>
      <c r="I7" s="157">
        <f>+'CE Emission Factor Calcs'!N7</f>
        <v>0.036735</v>
      </c>
      <c r="J7" s="82">
        <f aca="true" t="shared" si="1" ref="J7:J36">C7*D7*E7</f>
        <v>13.224599999999999</v>
      </c>
      <c r="K7" s="82">
        <f t="shared" si="0"/>
        <v>2.64492</v>
      </c>
      <c r="L7" s="82">
        <f t="shared" si="0"/>
        <v>19.396079999999998</v>
      </c>
      <c r="M7" s="82">
        <f t="shared" si="0"/>
        <v>1.76328</v>
      </c>
      <c r="N7" s="82">
        <f t="shared" si="0"/>
        <v>0.88164</v>
      </c>
    </row>
    <row r="8" spans="2:14" ht="12.75">
      <c r="B8" s="80" t="s">
        <v>72</v>
      </c>
      <c r="C8" s="18">
        <v>0</v>
      </c>
      <c r="D8" s="81">
        <v>8</v>
      </c>
      <c r="E8" s="158">
        <f>'CE Emission Factor Calcs'!J8</f>
        <v>0.667821</v>
      </c>
      <c r="F8" s="157">
        <f>+'CE Emission Factor Calcs'!K8</f>
        <v>0.121422</v>
      </c>
      <c r="G8" s="157">
        <f>+'CE Emission Factor Calcs'!L8</f>
        <v>1.396353</v>
      </c>
      <c r="H8" s="157">
        <f>+'CE Emission Factor Calcs'!M8</f>
        <v>0.121422</v>
      </c>
      <c r="I8" s="157">
        <f>+'CE Emission Factor Calcs'!N8</f>
        <v>0.060711</v>
      </c>
      <c r="J8" s="82">
        <f t="shared" si="1"/>
        <v>0</v>
      </c>
      <c r="K8" s="82">
        <f t="shared" si="0"/>
        <v>0</v>
      </c>
      <c r="L8" s="82">
        <f t="shared" si="0"/>
        <v>0</v>
      </c>
      <c r="M8" s="82">
        <f t="shared" si="0"/>
        <v>0</v>
      </c>
      <c r="N8" s="82">
        <f t="shared" si="0"/>
        <v>0</v>
      </c>
    </row>
    <row r="9" spans="2:14" ht="12.75">
      <c r="B9" s="80" t="s">
        <v>158</v>
      </c>
      <c r="C9" s="18">
        <v>2</v>
      </c>
      <c r="D9" s="81">
        <v>8</v>
      </c>
      <c r="E9" s="158">
        <f>'CE Emission Factor Calcs'!J9</f>
        <v>0.656502</v>
      </c>
      <c r="F9" s="157">
        <f>+'CE Emission Factor Calcs'!K9</f>
        <v>0.11936400000000001</v>
      </c>
      <c r="G9" s="157">
        <f>+'CE Emission Factor Calcs'!L9</f>
        <v>1.372686</v>
      </c>
      <c r="H9" s="157">
        <f>+'CE Emission Factor Calcs'!M9</f>
        <v>0.11936400000000001</v>
      </c>
      <c r="I9" s="157">
        <f>+'CE Emission Factor Calcs'!N9</f>
        <v>0.059682000000000006</v>
      </c>
      <c r="J9" s="82">
        <f t="shared" si="1"/>
        <v>10.504032</v>
      </c>
      <c r="K9" s="82">
        <f t="shared" si="0"/>
        <v>1.9098240000000002</v>
      </c>
      <c r="L9" s="82">
        <f t="shared" si="0"/>
        <v>21.962976</v>
      </c>
      <c r="M9" s="82">
        <f t="shared" si="0"/>
        <v>1.9098240000000002</v>
      </c>
      <c r="N9" s="82">
        <f t="shared" si="0"/>
        <v>0.9549120000000001</v>
      </c>
    </row>
    <row r="10" spans="2:14" ht="12.75">
      <c r="B10" s="80" t="s">
        <v>74</v>
      </c>
      <c r="C10" s="18">
        <v>3</v>
      </c>
      <c r="D10" s="81">
        <v>8</v>
      </c>
      <c r="E10" s="157">
        <f>+'CE Emission Factor Calcs'!J10</f>
        <v>2.8552</v>
      </c>
      <c r="F10" s="157">
        <f>+'CE Emission Factor Calcs'!K10</f>
        <v>0.14792</v>
      </c>
      <c r="G10" s="157">
        <f>+'CE Emission Factor Calcs'!L10</f>
        <v>0.01376</v>
      </c>
      <c r="H10" s="157">
        <f>+'CE Emission Factor Calcs'!M10</f>
        <v>0.00172</v>
      </c>
      <c r="I10" s="157">
        <f>+'CE Emission Factor Calcs'!N10</f>
        <v>0.000172</v>
      </c>
      <c r="J10" s="82">
        <f t="shared" si="1"/>
        <v>68.5248</v>
      </c>
      <c r="K10" s="82">
        <f t="shared" si="0"/>
        <v>3.55008</v>
      </c>
      <c r="L10" s="82">
        <f t="shared" si="0"/>
        <v>0.33024</v>
      </c>
      <c r="M10" s="82">
        <f t="shared" si="0"/>
        <v>0.04128</v>
      </c>
      <c r="N10" s="82">
        <f t="shared" si="0"/>
        <v>0.004128</v>
      </c>
    </row>
    <row r="11" spans="2:14" ht="12.75">
      <c r="B11" s="80" t="s">
        <v>75</v>
      </c>
      <c r="C11" s="18">
        <v>3</v>
      </c>
      <c r="D11" s="81">
        <v>8</v>
      </c>
      <c r="E11" s="157">
        <f>+'CE Emission Factor Calcs'!J11</f>
        <v>0.75078</v>
      </c>
      <c r="F11" s="157">
        <f>+'CE Emission Factor Calcs'!K11</f>
        <v>0.25026000000000004</v>
      </c>
      <c r="G11" s="157">
        <f>+'CE Emission Factor Calcs'!L11</f>
        <v>1.91866</v>
      </c>
      <c r="H11" s="157">
        <f>+'CE Emission Factor Calcs'!M11</f>
        <v>0.16684000000000002</v>
      </c>
      <c r="I11" s="157">
        <f>+'CE Emission Factor Calcs'!N11</f>
        <v>0.12513000000000002</v>
      </c>
      <c r="J11" s="82">
        <f t="shared" si="1"/>
        <v>18.018720000000002</v>
      </c>
      <c r="K11" s="82">
        <f t="shared" si="0"/>
        <v>6.006240000000001</v>
      </c>
      <c r="L11" s="82">
        <f t="shared" si="0"/>
        <v>46.04784</v>
      </c>
      <c r="M11" s="82">
        <f t="shared" si="0"/>
        <v>4.004160000000001</v>
      </c>
      <c r="N11" s="82">
        <f t="shared" si="0"/>
        <v>3.0031200000000005</v>
      </c>
    </row>
    <row r="12" spans="2:14" ht="12.75">
      <c r="B12" s="80" t="s">
        <v>125</v>
      </c>
      <c r="C12" s="18">
        <v>0</v>
      </c>
      <c r="D12" s="81">
        <v>8</v>
      </c>
      <c r="E12" s="157">
        <f>+'CE Emission Factor Calcs'!J13</f>
        <v>0.05244</v>
      </c>
      <c r="F12" s="157">
        <f>+'CE Emission Factor Calcs'!K13</f>
        <v>0.017480000000000002</v>
      </c>
      <c r="G12" s="157">
        <f>+'CE Emission Factor Calcs'!L13</f>
        <v>0.18354</v>
      </c>
      <c r="H12" s="157">
        <f>+'CE Emission Factor Calcs'!M13</f>
        <v>0.017480000000000002</v>
      </c>
      <c r="I12" s="157">
        <f>+'CE Emission Factor Calcs'!N13</f>
        <v>0.01311</v>
      </c>
      <c r="J12" s="82">
        <f t="shared" si="1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  <c r="N12" s="82">
        <f t="shared" si="0"/>
        <v>0</v>
      </c>
    </row>
    <row r="13" spans="2:14" ht="12.75">
      <c r="B13" s="80" t="s">
        <v>126</v>
      </c>
      <c r="C13" s="18">
        <v>1</v>
      </c>
      <c r="D13" s="81">
        <v>8</v>
      </c>
      <c r="E13" s="157">
        <f>+'CE Emission Factor Calcs'!J14</f>
        <v>0.05244</v>
      </c>
      <c r="F13" s="157">
        <f>+'CE Emission Factor Calcs'!K14</f>
        <v>0.017480000000000002</v>
      </c>
      <c r="G13" s="157">
        <f>+'CE Emission Factor Calcs'!L14</f>
        <v>0.18354</v>
      </c>
      <c r="H13" s="157">
        <f>+'CE Emission Factor Calcs'!M14</f>
        <v>0.017480000000000002</v>
      </c>
      <c r="I13" s="157">
        <f>+'CE Emission Factor Calcs'!N14</f>
        <v>0.01311</v>
      </c>
      <c r="J13" s="82">
        <f t="shared" si="1"/>
        <v>0.41952</v>
      </c>
      <c r="K13" s="82">
        <f t="shared" si="0"/>
        <v>0.13984000000000002</v>
      </c>
      <c r="L13" s="82">
        <f t="shared" si="0"/>
        <v>1.46832</v>
      </c>
      <c r="M13" s="82">
        <f t="shared" si="0"/>
        <v>0.13984000000000002</v>
      </c>
      <c r="N13" s="82">
        <f t="shared" si="0"/>
        <v>0.10488</v>
      </c>
    </row>
    <row r="14" spans="2:14" ht="12.75">
      <c r="B14" s="80" t="s">
        <v>127</v>
      </c>
      <c r="C14" s="18">
        <v>4</v>
      </c>
      <c r="D14" s="81">
        <v>8</v>
      </c>
      <c r="E14" s="157">
        <f>+'CE Emission Factor Calcs'!J15</f>
        <v>0.05244</v>
      </c>
      <c r="F14" s="157">
        <f>+'CE Emission Factor Calcs'!K15</f>
        <v>0.017480000000000002</v>
      </c>
      <c r="G14" s="157">
        <f>+'CE Emission Factor Calcs'!L15</f>
        <v>0.18354</v>
      </c>
      <c r="H14" s="157">
        <f>+'CE Emission Factor Calcs'!M15</f>
        <v>0.017480000000000002</v>
      </c>
      <c r="I14" s="157">
        <f>+'CE Emission Factor Calcs'!N15</f>
        <v>0.01311</v>
      </c>
      <c r="J14" s="82">
        <f t="shared" si="1"/>
        <v>1.67808</v>
      </c>
      <c r="K14" s="82">
        <f t="shared" si="0"/>
        <v>0.5593600000000001</v>
      </c>
      <c r="L14" s="82">
        <f t="shared" si="0"/>
        <v>5.87328</v>
      </c>
      <c r="M14" s="82">
        <f t="shared" si="0"/>
        <v>0.5593600000000001</v>
      </c>
      <c r="N14" s="82">
        <f t="shared" si="0"/>
        <v>0.41952</v>
      </c>
    </row>
    <row r="15" spans="2:14" ht="12.75">
      <c r="B15" s="80" t="s">
        <v>154</v>
      </c>
      <c r="C15" s="18">
        <v>1</v>
      </c>
      <c r="D15" s="81">
        <v>8</v>
      </c>
      <c r="E15" s="157">
        <f>+'CE Emission Factor Calcs'!J16</f>
        <v>3.0627</v>
      </c>
      <c r="F15" s="157">
        <f>+'CE Emission Factor Calcs'!K16</f>
        <v>0.15866999999999998</v>
      </c>
      <c r="G15" s="157">
        <f>+'CE Emission Factor Calcs'!L16</f>
        <v>0.01476</v>
      </c>
      <c r="H15" s="157">
        <f>+'CE Emission Factor Calcs'!M16</f>
        <v>0.001845</v>
      </c>
      <c r="I15" s="157">
        <f>+'CE Emission Factor Calcs'!N16</f>
        <v>0.0009225</v>
      </c>
      <c r="J15" s="82">
        <f t="shared" si="1"/>
        <v>24.5016</v>
      </c>
      <c r="K15" s="82">
        <f t="shared" si="0"/>
        <v>1.2693599999999998</v>
      </c>
      <c r="L15" s="82">
        <f t="shared" si="0"/>
        <v>0.11808</v>
      </c>
      <c r="M15" s="82">
        <f t="shared" si="0"/>
        <v>0.01476</v>
      </c>
      <c r="N15" s="82">
        <f t="shared" si="0"/>
        <v>0.00738</v>
      </c>
    </row>
    <row r="16" spans="2:14" ht="12.75">
      <c r="B16" s="80" t="s">
        <v>160</v>
      </c>
      <c r="C16" s="18">
        <v>2</v>
      </c>
      <c r="D16" s="81">
        <v>8</v>
      </c>
      <c r="E16" s="157">
        <f>+'CE Emission Factor Calcs'!J17</f>
        <v>1.8</v>
      </c>
      <c r="F16" s="157">
        <f>+'CE Emission Factor Calcs'!K17</f>
        <v>0.19</v>
      </c>
      <c r="G16" s="157">
        <f>+'CE Emission Factor Calcs'!L17</f>
        <v>4.17</v>
      </c>
      <c r="H16" s="157">
        <f>+'CE Emission Factor Calcs'!M17</f>
        <v>0.45</v>
      </c>
      <c r="I16" s="157">
        <f>+'CE Emission Factor Calcs'!N17</f>
        <v>0.26</v>
      </c>
      <c r="J16" s="82">
        <f t="shared" si="1"/>
        <v>28.8</v>
      </c>
      <c r="K16" s="82">
        <f t="shared" si="0"/>
        <v>3.04</v>
      </c>
      <c r="L16" s="82">
        <f t="shared" si="0"/>
        <v>66.72</v>
      </c>
      <c r="M16" s="82">
        <f t="shared" si="0"/>
        <v>7.2</v>
      </c>
      <c r="N16" s="82">
        <f t="shared" si="0"/>
        <v>4.16</v>
      </c>
    </row>
    <row r="17" spans="2:14" ht="12.75">
      <c r="B17" s="80" t="s">
        <v>166</v>
      </c>
      <c r="C17" s="18">
        <v>0</v>
      </c>
      <c r="D17" s="81">
        <v>8</v>
      </c>
      <c r="E17" s="157">
        <f>+'CE Emission Factor Calcs'!J18</f>
        <v>3.58</v>
      </c>
      <c r="F17" s="157">
        <f>+'CE Emission Factor Calcs'!K18</f>
        <v>0.18</v>
      </c>
      <c r="G17" s="157">
        <f>+'CE Emission Factor Calcs'!L18</f>
        <v>1.27</v>
      </c>
      <c r="H17" s="157">
        <f>+'CE Emission Factor Calcs'!M18</f>
        <v>0.09</v>
      </c>
      <c r="I17" s="157">
        <f>+'CE Emission Factor Calcs'!N18</f>
        <v>0.14</v>
      </c>
      <c r="J17" s="82">
        <f t="shared" si="1"/>
        <v>0</v>
      </c>
      <c r="K17" s="82">
        <f t="shared" si="0"/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</row>
    <row r="18" spans="2:14" ht="12.75">
      <c r="B18" s="80" t="s">
        <v>76</v>
      </c>
      <c r="C18" s="18">
        <v>4</v>
      </c>
      <c r="D18" s="81">
        <v>8</v>
      </c>
      <c r="E18" s="157">
        <f>+'CE Emission Factor Calcs'!J19</f>
        <v>0.572</v>
      </c>
      <c r="F18" s="157">
        <f>+'CE Emission Factor Calcs'!K19</f>
        <v>0.23</v>
      </c>
      <c r="G18" s="157">
        <f>+'CE Emission Factor Calcs'!L19</f>
        <v>1.9</v>
      </c>
      <c r="H18" s="157">
        <f>+'CE Emission Factor Calcs'!M19</f>
        <v>0.182</v>
      </c>
      <c r="I18" s="157">
        <f>+'CE Emission Factor Calcs'!N19</f>
        <v>0.17</v>
      </c>
      <c r="J18" s="82">
        <f t="shared" si="1"/>
        <v>18.304</v>
      </c>
      <c r="K18" s="82">
        <f t="shared" si="0"/>
        <v>7.36</v>
      </c>
      <c r="L18" s="82">
        <f t="shared" si="0"/>
        <v>60.8</v>
      </c>
      <c r="M18" s="82">
        <f t="shared" si="0"/>
        <v>5.824</v>
      </c>
      <c r="N18" s="82">
        <f t="shared" si="0"/>
        <v>5.44</v>
      </c>
    </row>
    <row r="19" spans="2:14" ht="12.75">
      <c r="B19" s="80" t="s">
        <v>77</v>
      </c>
      <c r="C19" s="18">
        <v>2</v>
      </c>
      <c r="D19" s="81">
        <v>8</v>
      </c>
      <c r="E19" s="157">
        <f>+'CE Emission Factor Calcs'!J20</f>
        <v>0.28229499999999996</v>
      </c>
      <c r="F19" s="157">
        <f>+'CE Emission Factor Calcs'!K20</f>
        <v>0.065145</v>
      </c>
      <c r="G19" s="157">
        <f>+'CE Emission Factor Calcs'!L20</f>
        <v>0.673165</v>
      </c>
      <c r="H19" s="157">
        <f>+'CE Emission Factor Calcs'!M20</f>
        <v>0.04343</v>
      </c>
      <c r="I19" s="157">
        <f>+'CE Emission Factor Calcs'!N20</f>
        <v>0.0325725</v>
      </c>
      <c r="J19" s="82">
        <f t="shared" si="1"/>
        <v>4.516719999999999</v>
      </c>
      <c r="K19" s="82">
        <f t="shared" si="0"/>
        <v>1.04232</v>
      </c>
      <c r="L19" s="82">
        <f t="shared" si="0"/>
        <v>10.77064</v>
      </c>
      <c r="M19" s="82">
        <f t="shared" si="0"/>
        <v>0.69488</v>
      </c>
      <c r="N19" s="82">
        <f t="shared" si="0"/>
        <v>0.52116</v>
      </c>
    </row>
    <row r="20" spans="2:14" ht="12.75">
      <c r="B20" s="80" t="s">
        <v>78</v>
      </c>
      <c r="C20" s="18">
        <v>1</v>
      </c>
      <c r="D20" s="81">
        <v>8</v>
      </c>
      <c r="E20" s="157">
        <f>+'CE Emission Factor Calcs'!J21</f>
        <v>0.151</v>
      </c>
      <c r="F20" s="157">
        <f>+'CE Emission Factor Calcs'!K21</f>
        <v>0.039</v>
      </c>
      <c r="G20" s="157">
        <f>+'CE Emission Factor Calcs'!L21</f>
        <v>0.713</v>
      </c>
      <c r="H20" s="157">
        <f>+'CE Emission Factor Calcs'!M21</f>
        <v>0.086</v>
      </c>
      <c r="I20" s="157">
        <f>+'CE Emission Factor Calcs'!N21</f>
        <v>0.061</v>
      </c>
      <c r="J20" s="82">
        <f t="shared" si="1"/>
        <v>1.208</v>
      </c>
      <c r="K20" s="82">
        <f t="shared" si="0"/>
        <v>0.312</v>
      </c>
      <c r="L20" s="82">
        <f t="shared" si="0"/>
        <v>5.704</v>
      </c>
      <c r="M20" s="82">
        <f t="shared" si="0"/>
        <v>0.688</v>
      </c>
      <c r="N20" s="82">
        <f t="shared" si="0"/>
        <v>0.488</v>
      </c>
    </row>
    <row r="21" spans="2:14" ht="12.75">
      <c r="B21" s="80" t="s">
        <v>79</v>
      </c>
      <c r="C21" s="18">
        <v>0</v>
      </c>
      <c r="D21" s="81">
        <v>8</v>
      </c>
      <c r="E21" s="157">
        <f>+'CE Emission Factor Calcs'!J22</f>
        <v>0.8059999999999999</v>
      </c>
      <c r="F21" s="157">
        <f>+'CE Emission Factor Calcs'!K22</f>
        <v>0.16119999999999998</v>
      </c>
      <c r="G21" s="157">
        <f>+'CE Emission Factor Calcs'!L22</f>
        <v>1.7731999999999997</v>
      </c>
      <c r="H21" s="157">
        <f>+'CE Emission Factor Calcs'!M22</f>
        <v>0.16119999999999998</v>
      </c>
      <c r="I21" s="157">
        <f>+'CE Emission Factor Calcs'!N22</f>
        <v>0.08059999999999999</v>
      </c>
      <c r="J21" s="82">
        <f t="shared" si="1"/>
        <v>0</v>
      </c>
      <c r="K21" s="82">
        <f t="shared" si="0"/>
        <v>0</v>
      </c>
      <c r="L21" s="82">
        <f t="shared" si="0"/>
        <v>0</v>
      </c>
      <c r="M21" s="82">
        <f t="shared" si="0"/>
        <v>0</v>
      </c>
      <c r="N21" s="82">
        <f t="shared" si="0"/>
        <v>0</v>
      </c>
    </row>
    <row r="22" spans="2:14" ht="12.75">
      <c r="B22" s="80" t="s">
        <v>80</v>
      </c>
      <c r="C22" s="18">
        <v>1</v>
      </c>
      <c r="D22" s="81">
        <v>8</v>
      </c>
      <c r="E22" s="157">
        <f>+'CE Emission Factor Calcs'!J23</f>
        <v>0.675</v>
      </c>
      <c r="F22" s="157">
        <f>+'CE Emission Factor Calcs'!K23</f>
        <v>0.15</v>
      </c>
      <c r="G22" s="157">
        <f>+'CE Emission Factor Calcs'!L23</f>
        <v>1.7</v>
      </c>
      <c r="H22" s="157">
        <f>+'CE Emission Factor Calcs'!M23</f>
        <v>0.143</v>
      </c>
      <c r="I22" s="157">
        <f>+'CE Emission Factor Calcs'!N23</f>
        <v>0.14</v>
      </c>
      <c r="J22" s="82">
        <f t="shared" si="1"/>
        <v>5.4</v>
      </c>
      <c r="K22" s="82">
        <f aca="true" t="shared" si="2" ref="K22:N36">$C22*$D22*F22</f>
        <v>1.2</v>
      </c>
      <c r="L22" s="82">
        <f t="shared" si="2"/>
        <v>13.6</v>
      </c>
      <c r="M22" s="82">
        <f t="shared" si="2"/>
        <v>1.144</v>
      </c>
      <c r="N22" s="82">
        <f t="shared" si="2"/>
        <v>1.12</v>
      </c>
    </row>
    <row r="23" spans="2:14" ht="12.75">
      <c r="B23" s="80" t="s">
        <v>81</v>
      </c>
      <c r="C23" s="18">
        <v>0</v>
      </c>
      <c r="D23" s="81">
        <v>8</v>
      </c>
      <c r="E23" s="157">
        <f>+'CE Emission Factor Calcs'!J24</f>
        <v>0.834</v>
      </c>
      <c r="F23" s="157">
        <f>+'CE Emission Factor Calcs'!K24</f>
        <v>0.1251</v>
      </c>
      <c r="G23" s="157">
        <f>+'CE Emission Factor Calcs'!L24</f>
        <v>0.9173999999999999</v>
      </c>
      <c r="H23" s="157">
        <f>+'CE Emission Factor Calcs'!M24</f>
        <v>0.08339999999999999</v>
      </c>
      <c r="I23" s="157">
        <f>+'CE Emission Factor Calcs'!N24</f>
        <v>0.06255</v>
      </c>
      <c r="J23" s="82">
        <f t="shared" si="1"/>
        <v>0</v>
      </c>
      <c r="K23" s="82">
        <f t="shared" si="2"/>
        <v>0</v>
      </c>
      <c r="L23" s="82">
        <f t="shared" si="2"/>
        <v>0</v>
      </c>
      <c r="M23" s="82">
        <f t="shared" si="2"/>
        <v>0</v>
      </c>
      <c r="N23" s="82">
        <f t="shared" si="2"/>
        <v>0</v>
      </c>
    </row>
    <row r="24" spans="1:14" ht="12.75">
      <c r="A24" s="254" t="s">
        <v>195</v>
      </c>
      <c r="B24" s="80"/>
      <c r="C24" s="18"/>
      <c r="D24" s="81"/>
      <c r="E24" s="157"/>
      <c r="F24" s="157"/>
      <c r="G24" s="157"/>
      <c r="H24" s="157"/>
      <c r="I24" s="157"/>
      <c r="J24" s="82"/>
      <c r="K24" s="82"/>
      <c r="L24" s="82"/>
      <c r="M24" s="82"/>
      <c r="N24" s="82"/>
    </row>
    <row r="25" spans="1:14" ht="12.75">
      <c r="A25" s="254"/>
      <c r="B25" s="80" t="s">
        <v>167</v>
      </c>
      <c r="C25" s="18">
        <v>3</v>
      </c>
      <c r="D25" s="81">
        <v>8</v>
      </c>
      <c r="E25" s="157">
        <f>+'CE Emission Factor Calcs'!J26</f>
        <v>0.9718499999999999</v>
      </c>
      <c r="F25" s="157">
        <f>+'CE Emission Factor Calcs'!K26</f>
        <v>0.132525</v>
      </c>
      <c r="G25" s="157">
        <f>+'CE Emission Factor Calcs'!L26</f>
        <v>0.7951499999999999</v>
      </c>
      <c r="H25" s="157">
        <f>+'CE Emission Factor Calcs'!M26</f>
        <v>0.08835</v>
      </c>
      <c r="I25" s="157">
        <f>+'CE Emission Factor Calcs'!N26</f>
        <v>0.0662625</v>
      </c>
      <c r="J25" s="82">
        <f t="shared" si="1"/>
        <v>23.324399999999997</v>
      </c>
      <c r="K25" s="82">
        <f t="shared" si="2"/>
        <v>3.1806</v>
      </c>
      <c r="L25" s="82">
        <f t="shared" si="2"/>
        <v>19.083599999999997</v>
      </c>
      <c r="M25" s="82">
        <f t="shared" si="2"/>
        <v>2.1204</v>
      </c>
      <c r="N25" s="82">
        <f t="shared" si="2"/>
        <v>1.5903</v>
      </c>
    </row>
    <row r="26" spans="2:14" ht="12.75">
      <c r="B26" s="80" t="s">
        <v>82</v>
      </c>
      <c r="C26" s="18">
        <v>2</v>
      </c>
      <c r="D26" s="81">
        <v>8</v>
      </c>
      <c r="E26" s="157">
        <f>+'CE Emission Factor Calcs'!J27</f>
        <v>12.973788</v>
      </c>
      <c r="F26" s="157">
        <f>+'CE Emission Factor Calcs'!K27</f>
        <v>0.473688</v>
      </c>
      <c r="G26" s="157">
        <f>+'CE Emission Factor Calcs'!L27</f>
        <v>0.017544</v>
      </c>
      <c r="H26" s="157">
        <f>+'CE Emission Factor Calcs'!M27</f>
        <v>0.0052632</v>
      </c>
      <c r="I26" s="157">
        <f>+'CE Emission Factor Calcs'!N27</f>
        <v>0.002193</v>
      </c>
      <c r="J26" s="82">
        <f t="shared" si="1"/>
        <v>207.580608</v>
      </c>
      <c r="K26" s="82">
        <f t="shared" si="2"/>
        <v>7.579008</v>
      </c>
      <c r="L26" s="82">
        <f t="shared" si="2"/>
        <v>0.280704</v>
      </c>
      <c r="M26" s="82">
        <f t="shared" si="2"/>
        <v>0.0842112</v>
      </c>
      <c r="N26" s="82">
        <f t="shared" si="2"/>
        <v>0.035088</v>
      </c>
    </row>
    <row r="27" spans="2:14" ht="12.75">
      <c r="B27" s="80" t="s">
        <v>83</v>
      </c>
      <c r="C27" s="18">
        <v>10</v>
      </c>
      <c r="D27" s="81">
        <v>8</v>
      </c>
      <c r="E27" s="157">
        <f>+'CE Emission Factor Calcs'!J28</f>
        <v>0.17325</v>
      </c>
      <c r="F27" s="157">
        <f>+'CE Emission Factor Calcs'!K28</f>
        <v>0.0315</v>
      </c>
      <c r="G27" s="157">
        <f>+'CE Emission Factor Calcs'!L28</f>
        <v>0.2835</v>
      </c>
      <c r="H27" s="157">
        <f>+'CE Emission Factor Calcs'!M28</f>
        <v>0.0315</v>
      </c>
      <c r="I27" s="157">
        <f>+'CE Emission Factor Calcs'!N28</f>
        <v>0.01575</v>
      </c>
      <c r="J27" s="82">
        <f t="shared" si="1"/>
        <v>13.86</v>
      </c>
      <c r="K27" s="82">
        <f t="shared" si="2"/>
        <v>2.52</v>
      </c>
      <c r="L27" s="82">
        <f t="shared" si="2"/>
        <v>22.68</v>
      </c>
      <c r="M27" s="82">
        <f t="shared" si="2"/>
        <v>2.52</v>
      </c>
      <c r="N27" s="82">
        <f t="shared" si="2"/>
        <v>1.26</v>
      </c>
    </row>
    <row r="28" spans="2:14" ht="12.75">
      <c r="B28" s="80"/>
      <c r="C28" s="18"/>
      <c r="D28" s="81"/>
      <c r="E28" s="157"/>
      <c r="F28" s="157"/>
      <c r="G28" s="157"/>
      <c r="H28" s="157"/>
      <c r="I28" s="157"/>
      <c r="J28" s="82"/>
      <c r="K28" s="82"/>
      <c r="L28" s="82"/>
      <c r="M28" s="82"/>
      <c r="N28" s="82"/>
    </row>
    <row r="29" spans="2:14" ht="12.75">
      <c r="B29" s="80"/>
      <c r="C29" s="18"/>
      <c r="D29" s="81"/>
      <c r="E29" s="157"/>
      <c r="F29" s="157"/>
      <c r="G29" s="157"/>
      <c r="H29" s="157"/>
      <c r="I29" s="157"/>
      <c r="J29" s="82"/>
      <c r="K29" s="82"/>
      <c r="L29" s="82"/>
      <c r="M29" s="82"/>
      <c r="N29" s="82"/>
    </row>
    <row r="30" spans="2:14" ht="12.75">
      <c r="B30" s="80" t="s">
        <v>157</v>
      </c>
      <c r="C30" s="18">
        <v>0</v>
      </c>
      <c r="D30" s="81">
        <v>8</v>
      </c>
      <c r="E30" s="157">
        <f>+'CE Emission Factor Calcs'!J31</f>
        <v>3.2536</v>
      </c>
      <c r="F30" s="157">
        <f>+'CE Emission Factor Calcs'!K31</f>
        <v>0.15680000000000002</v>
      </c>
      <c r="G30" s="157">
        <f>+'CE Emission Factor Calcs'!L31</f>
        <v>0.015680000000000003</v>
      </c>
      <c r="H30" s="157">
        <f>+'CE Emission Factor Calcs'!M31</f>
        <v>0.0019600000000000004</v>
      </c>
      <c r="I30" s="157">
        <f>+'CE Emission Factor Calcs'!N31</f>
        <v>0.0009800000000000002</v>
      </c>
      <c r="J30" s="82">
        <f t="shared" si="1"/>
        <v>0</v>
      </c>
      <c r="K30" s="82">
        <f t="shared" si="2"/>
        <v>0</v>
      </c>
      <c r="L30" s="82">
        <f t="shared" si="2"/>
        <v>0</v>
      </c>
      <c r="M30" s="82">
        <f t="shared" si="2"/>
        <v>0</v>
      </c>
      <c r="N30" s="82">
        <f t="shared" si="2"/>
        <v>0</v>
      </c>
    </row>
    <row r="31" spans="2:14" ht="12.75">
      <c r="B31" s="80" t="s">
        <v>322</v>
      </c>
      <c r="C31" s="18">
        <v>2</v>
      </c>
      <c r="D31" s="81">
        <v>8</v>
      </c>
      <c r="E31" s="157">
        <f>+'CE Emission Factor Calcs'!J32</f>
        <v>1.826</v>
      </c>
      <c r="F31" s="157">
        <f>+'CE Emission Factor Calcs'!K32</f>
        <v>0.0946</v>
      </c>
      <c r="G31" s="157">
        <f>+'CE Emission Factor Calcs'!L32</f>
        <v>0.0088</v>
      </c>
      <c r="H31" s="157">
        <f>+'CE Emission Factor Calcs'!M32</f>
        <v>0.0011</v>
      </c>
      <c r="I31" s="157">
        <f>+'CE Emission Factor Calcs'!N32</f>
        <v>0.00055</v>
      </c>
      <c r="J31" s="82">
        <f t="shared" si="1"/>
        <v>29.216</v>
      </c>
      <c r="K31" s="82">
        <f t="shared" si="2"/>
        <v>1.5136</v>
      </c>
      <c r="L31" s="82">
        <f t="shared" si="2"/>
        <v>0.1408</v>
      </c>
      <c r="M31" s="82">
        <f t="shared" si="2"/>
        <v>0.0176</v>
      </c>
      <c r="N31" s="82">
        <f t="shared" si="2"/>
        <v>0.0088</v>
      </c>
    </row>
    <row r="32" spans="2:14" ht="12.75">
      <c r="B32" s="80" t="s">
        <v>168</v>
      </c>
      <c r="C32" s="18">
        <v>4</v>
      </c>
      <c r="D32" s="81">
        <v>8</v>
      </c>
      <c r="E32" s="157">
        <f>+'CE Emission Factor Calcs'!J33</f>
        <v>0.3</v>
      </c>
      <c r="F32" s="157">
        <f>+'CE Emission Factor Calcs'!K33</f>
        <v>0.065</v>
      </c>
      <c r="G32" s="157">
        <f>+'CE Emission Factor Calcs'!L33</f>
        <v>0.87</v>
      </c>
      <c r="H32" s="157">
        <f>+'CE Emission Factor Calcs'!M33</f>
        <v>0.067</v>
      </c>
      <c r="I32" s="157">
        <f>+'CE Emission Factor Calcs'!N33</f>
        <v>0.05</v>
      </c>
      <c r="J32" s="82">
        <f t="shared" si="1"/>
        <v>9.6</v>
      </c>
      <c r="K32" s="82">
        <f t="shared" si="2"/>
        <v>2.08</v>
      </c>
      <c r="L32" s="82">
        <f t="shared" si="2"/>
        <v>27.84</v>
      </c>
      <c r="M32" s="82">
        <f t="shared" si="2"/>
        <v>2.144</v>
      </c>
      <c r="N32" s="82">
        <f t="shared" si="2"/>
        <v>1.6</v>
      </c>
    </row>
    <row r="33" spans="2:14" ht="12.75">
      <c r="B33" s="80" t="s">
        <v>155</v>
      </c>
      <c r="C33" s="18">
        <v>2</v>
      </c>
      <c r="D33" s="81">
        <v>8</v>
      </c>
      <c r="E33" s="157">
        <f>+'CE Emission Factor Calcs'!J34</f>
        <v>13.41</v>
      </c>
      <c r="F33" s="157">
        <f>+'CE Emission Factor Calcs'!K34</f>
        <v>0.59</v>
      </c>
      <c r="G33" s="157">
        <f>+'CE Emission Factor Calcs'!L34</f>
        <v>0.362</v>
      </c>
      <c r="H33" s="157">
        <f>+'CE Emission Factor Calcs'!M34</f>
        <v>0.0185</v>
      </c>
      <c r="I33" s="157">
        <f>+'CE Emission Factor Calcs'!N34</f>
        <v>0.026</v>
      </c>
      <c r="J33" s="82">
        <f t="shared" si="1"/>
        <v>214.56</v>
      </c>
      <c r="K33" s="82">
        <f t="shared" si="2"/>
        <v>9.44</v>
      </c>
      <c r="L33" s="82">
        <f t="shared" si="2"/>
        <v>5.792</v>
      </c>
      <c r="M33" s="82">
        <f t="shared" si="2"/>
        <v>0.296</v>
      </c>
      <c r="N33" s="82">
        <f t="shared" si="2"/>
        <v>0.416</v>
      </c>
    </row>
    <row r="34" spans="2:14" ht="12.75">
      <c r="B34" s="80" t="s">
        <v>84</v>
      </c>
      <c r="C34" s="18">
        <v>0</v>
      </c>
      <c r="D34" s="81">
        <v>8</v>
      </c>
      <c r="E34" s="157">
        <f>+'CE Emission Factor Calcs'!J35</f>
        <v>0.675</v>
      </c>
      <c r="F34" s="157">
        <f>+'CE Emission Factor Calcs'!K35</f>
        <v>0.15</v>
      </c>
      <c r="G34" s="157">
        <f>+'CE Emission Factor Calcs'!L35</f>
        <v>1.7</v>
      </c>
      <c r="H34" s="157">
        <f>+'CE Emission Factor Calcs'!M35</f>
        <v>0.143</v>
      </c>
      <c r="I34" s="157">
        <f>+'CE Emission Factor Calcs'!N35</f>
        <v>0.14</v>
      </c>
      <c r="J34" s="82">
        <f t="shared" si="1"/>
        <v>0</v>
      </c>
      <c r="K34" s="82">
        <f t="shared" si="2"/>
        <v>0</v>
      </c>
      <c r="L34" s="82">
        <f t="shared" si="2"/>
        <v>0</v>
      </c>
      <c r="M34" s="82">
        <f t="shared" si="2"/>
        <v>0</v>
      </c>
      <c r="N34" s="82">
        <f t="shared" si="2"/>
        <v>0</v>
      </c>
    </row>
    <row r="35" spans="2:14" ht="12.75">
      <c r="B35" s="80" t="s">
        <v>85</v>
      </c>
      <c r="C35" s="181">
        <v>0</v>
      </c>
      <c r="D35" s="81">
        <v>8</v>
      </c>
      <c r="E35" s="157">
        <f>+'CE Emission Factor Calcs'!J36</f>
        <v>0.675</v>
      </c>
      <c r="F35" s="157">
        <f>+'CE Emission Factor Calcs'!K36</f>
        <v>0.15</v>
      </c>
      <c r="G35" s="157">
        <f>+'CE Emission Factor Calcs'!L36</f>
        <v>1.7</v>
      </c>
      <c r="H35" s="157">
        <f>+'CE Emission Factor Calcs'!M36</f>
        <v>0.143</v>
      </c>
      <c r="I35" s="157">
        <f>+'CE Emission Factor Calcs'!N36</f>
        <v>0.14</v>
      </c>
      <c r="J35" s="82">
        <f t="shared" si="1"/>
        <v>0</v>
      </c>
      <c r="K35" s="82">
        <f t="shared" si="2"/>
        <v>0</v>
      </c>
      <c r="L35" s="82">
        <f t="shared" si="2"/>
        <v>0</v>
      </c>
      <c r="M35" s="82">
        <f t="shared" si="2"/>
        <v>0</v>
      </c>
      <c r="N35" s="82">
        <f t="shared" si="2"/>
        <v>0</v>
      </c>
    </row>
    <row r="36" spans="2:14" ht="13.5" thickBot="1">
      <c r="B36" s="84" t="s">
        <v>324</v>
      </c>
      <c r="C36" s="85">
        <v>3</v>
      </c>
      <c r="D36" s="85">
        <v>8</v>
      </c>
      <c r="E36" s="85">
        <f>+'CE Emission Factor Calcs'!J37</f>
        <v>3.2535999999999996</v>
      </c>
      <c r="F36" s="85">
        <f>+'CE Emission Factor Calcs'!K37</f>
        <v>0.16856</v>
      </c>
      <c r="G36" s="85">
        <f>+'CE Emission Factor Calcs'!L37</f>
        <v>0.01568</v>
      </c>
      <c r="H36" s="85">
        <f>+'CE Emission Factor Calcs'!M37</f>
        <v>0.00196</v>
      </c>
      <c r="I36" s="165">
        <f>+'CE Emission Factor Calcs'!N37</f>
        <v>0.00098</v>
      </c>
      <c r="J36" s="182">
        <f t="shared" si="1"/>
        <v>78.0864</v>
      </c>
      <c r="K36" s="182">
        <f t="shared" si="2"/>
        <v>4.045439999999999</v>
      </c>
      <c r="L36" s="182">
        <f t="shared" si="2"/>
        <v>0.37632</v>
      </c>
      <c r="M36" s="182">
        <f t="shared" si="2"/>
        <v>0.04704</v>
      </c>
      <c r="N36" s="183">
        <f t="shared" si="2"/>
        <v>0.02352</v>
      </c>
    </row>
    <row r="37" spans="2:14" ht="13.5" thickBot="1">
      <c r="B37" s="83"/>
      <c r="C37" s="86"/>
      <c r="D37" s="86"/>
      <c r="E37" s="86"/>
      <c r="F37" s="86"/>
      <c r="G37" s="86"/>
      <c r="H37" s="86"/>
      <c r="I37" s="85"/>
      <c r="J37" s="85"/>
      <c r="K37" s="85"/>
      <c r="L37" s="85"/>
      <c r="M37" s="85"/>
      <c r="N37" s="85"/>
    </row>
    <row r="38" spans="2:14" ht="13.5" thickBot="1">
      <c r="B38" s="87" t="s">
        <v>86</v>
      </c>
      <c r="C38" s="88"/>
      <c r="D38" s="88"/>
      <c r="E38" s="88"/>
      <c r="F38" s="88"/>
      <c r="G38" s="88"/>
      <c r="H38" s="88"/>
      <c r="I38" s="88"/>
      <c r="J38" s="89">
        <f>SUM(J6:J36)</f>
        <v>774.4532400000002</v>
      </c>
      <c r="K38" s="89">
        <f>SUM(K6:K36)</f>
        <v>59.960912</v>
      </c>
      <c r="L38" s="184">
        <f>SUM(L6:L36)</f>
        <v>334.09976000000006</v>
      </c>
      <c r="M38" s="89">
        <f>SUM(M6:M36)</f>
        <v>31.780955199999998</v>
      </c>
      <c r="N38" s="92">
        <f>SUM(N6:N36)</f>
        <v>22.322608000000006</v>
      </c>
    </row>
    <row r="39" spans="2:14" ht="14.25" thickBot="1" thickTop="1">
      <c r="B39" s="93" t="s">
        <v>5</v>
      </c>
      <c r="C39" s="149"/>
      <c r="D39" s="90"/>
      <c r="E39" s="90"/>
      <c r="F39" s="10"/>
      <c r="G39" s="10"/>
      <c r="H39" s="10"/>
      <c r="I39" s="10"/>
      <c r="J39" s="146"/>
      <c r="K39" s="146"/>
      <c r="L39" s="146"/>
      <c r="M39" s="142"/>
      <c r="N39" s="143"/>
    </row>
    <row r="40" spans="10:14" ht="13.5" thickTop="1">
      <c r="J40" s="23"/>
      <c r="K40" s="23"/>
      <c r="L40" s="23"/>
      <c r="M40" s="23"/>
      <c r="N40" s="23"/>
    </row>
    <row r="41" ht="12.75">
      <c r="B41" s="13" t="s">
        <v>87</v>
      </c>
    </row>
    <row r="42" spans="2:5" ht="12.75">
      <c r="B42" s="13" t="s">
        <v>88</v>
      </c>
      <c r="E42" s="13" t="s">
        <v>89</v>
      </c>
    </row>
    <row r="43" ht="12.75">
      <c r="B43" s="13" t="s">
        <v>90</v>
      </c>
    </row>
    <row r="44" spans="2:6" ht="12.75">
      <c r="B44" s="13" t="s">
        <v>91</v>
      </c>
      <c r="C44" s="150"/>
      <c r="D44" s="13"/>
      <c r="E44" s="13"/>
      <c r="F44" s="91"/>
    </row>
    <row r="46" ht="12.75">
      <c r="N46" s="57"/>
    </row>
    <row r="47" ht="12.75">
      <c r="B47" s="13"/>
    </row>
  </sheetData>
  <sheetProtection/>
  <mergeCells count="2">
    <mergeCell ref="A2:N2"/>
    <mergeCell ref="A24:A25"/>
  </mergeCells>
  <conditionalFormatting sqref="M40:N40 J40">
    <cfRule type="cellIs" priority="1" dxfId="0" operator="greaterThanOrEqual" stopIfTrue="1">
      <formula>$J$41</formula>
    </cfRule>
  </conditionalFormatting>
  <conditionalFormatting sqref="L40">
    <cfRule type="cellIs" priority="2" dxfId="0" operator="greaterThanOrEqual" stopIfTrue="1">
      <formula>$L$41</formula>
    </cfRule>
  </conditionalFormatting>
  <conditionalFormatting sqref="K40">
    <cfRule type="cellIs" priority="3" dxfId="0" operator="greaterThanOrEqual" stopIfTrue="1">
      <formula>$K$41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B-2
Construction Equipment Emissions for the Ultramar Alkylation Improvement Project 
</oddHeader>
    <oddFooter>&amp;L&amp;8N:\\2185\&amp;F:&amp;A&amp;R&amp;8&amp;D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2"/>
  <dimension ref="A1:G6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2.00390625" style="0" bestFit="1" customWidth="1"/>
    <col min="2" max="2" width="11.7109375" style="0" customWidth="1"/>
    <col min="3" max="7" width="10.140625" style="0" customWidth="1"/>
  </cols>
  <sheetData>
    <row r="1" spans="1:7" ht="15">
      <c r="A1" s="325"/>
      <c r="B1" s="325"/>
      <c r="C1" s="325"/>
      <c r="D1" s="325"/>
      <c r="E1" s="325"/>
      <c r="F1" s="325"/>
      <c r="G1" s="325"/>
    </row>
    <row r="2" spans="1:7" ht="15">
      <c r="A2" s="186"/>
      <c r="B2" s="186"/>
      <c r="C2" s="186"/>
      <c r="D2" s="186"/>
      <c r="E2" s="186"/>
      <c r="F2" s="186"/>
      <c r="G2" s="186"/>
    </row>
    <row r="3" spans="1:7" ht="15">
      <c r="A3" s="186"/>
      <c r="B3" s="186"/>
      <c r="C3" s="186"/>
      <c r="D3" s="186"/>
      <c r="E3" s="186"/>
      <c r="F3" s="186"/>
      <c r="G3" s="186"/>
    </row>
    <row r="4" ht="13.5" thickBot="1"/>
    <row r="5" spans="1:7" ht="13.5" thickTop="1">
      <c r="A5" s="331" t="s">
        <v>347</v>
      </c>
      <c r="B5" s="332"/>
      <c r="C5" s="335" t="s">
        <v>351</v>
      </c>
      <c r="D5" s="336"/>
      <c r="E5" s="336"/>
      <c r="F5" s="337"/>
      <c r="G5" s="338"/>
    </row>
    <row r="6" spans="1:7" ht="13.5" thickBot="1">
      <c r="A6" s="333"/>
      <c r="B6" s="334"/>
      <c r="C6" s="144" t="s">
        <v>0</v>
      </c>
      <c r="D6" s="144" t="s">
        <v>1</v>
      </c>
      <c r="E6" s="144" t="s">
        <v>2</v>
      </c>
      <c r="F6" s="144" t="s">
        <v>6</v>
      </c>
      <c r="G6" s="145" t="s">
        <v>3</v>
      </c>
    </row>
    <row r="7" spans="1:7" ht="13.5" thickTop="1">
      <c r="A7" s="340"/>
      <c r="B7" s="341"/>
      <c r="C7" s="16"/>
      <c r="D7" s="16"/>
      <c r="E7" s="16"/>
      <c r="F7" s="16"/>
      <c r="G7" s="16"/>
    </row>
    <row r="8" spans="1:7" ht="12.75">
      <c r="A8" s="345" t="s">
        <v>122</v>
      </c>
      <c r="B8" s="344"/>
      <c r="C8" s="18">
        <v>550</v>
      </c>
      <c r="D8" s="18">
        <v>75</v>
      </c>
      <c r="E8" s="18">
        <v>100</v>
      </c>
      <c r="F8" s="18">
        <v>150</v>
      </c>
      <c r="G8" s="18">
        <v>150</v>
      </c>
    </row>
    <row r="9" spans="1:7" ht="12.75">
      <c r="A9" s="342" t="s">
        <v>348</v>
      </c>
      <c r="B9" s="343"/>
      <c r="C9" s="18">
        <v>1700</v>
      </c>
      <c r="D9" s="18">
        <v>388</v>
      </c>
      <c r="E9" s="18">
        <v>688</v>
      </c>
      <c r="F9" s="18">
        <v>57</v>
      </c>
      <c r="G9" s="18">
        <v>275</v>
      </c>
    </row>
    <row r="10" spans="1:7" ht="12.75">
      <c r="A10" s="345" t="s">
        <v>354</v>
      </c>
      <c r="B10" s="344"/>
      <c r="C10" s="18" t="s">
        <v>180</v>
      </c>
      <c r="D10" s="18" t="s">
        <v>180</v>
      </c>
      <c r="E10" s="18" t="s">
        <v>180</v>
      </c>
      <c r="F10" s="18" t="s">
        <v>124</v>
      </c>
      <c r="G10" s="18" t="s">
        <v>180</v>
      </c>
    </row>
    <row r="11" spans="1:7" ht="12.75">
      <c r="A11" s="279" t="s">
        <v>349</v>
      </c>
      <c r="B11" s="344"/>
      <c r="C11" s="252">
        <v>1702</v>
      </c>
      <c r="D11" s="252">
        <v>389</v>
      </c>
      <c r="E11" s="252">
        <v>693</v>
      </c>
      <c r="F11" s="252">
        <v>60</v>
      </c>
      <c r="G11" s="252">
        <v>277</v>
      </c>
    </row>
    <row r="12" spans="1:7" ht="12.75">
      <c r="A12" s="345" t="s">
        <v>354</v>
      </c>
      <c r="B12" s="344"/>
      <c r="C12" s="18" t="s">
        <v>180</v>
      </c>
      <c r="D12" s="18" t="s">
        <v>180</v>
      </c>
      <c r="E12" s="18" t="s">
        <v>180</v>
      </c>
      <c r="F12" s="18" t="s">
        <v>124</v>
      </c>
      <c r="G12" s="18" t="s">
        <v>180</v>
      </c>
    </row>
    <row r="13" spans="1:7" ht="12.75">
      <c r="A13" s="251" t="s">
        <v>350</v>
      </c>
      <c r="B13" s="16"/>
      <c r="C13" s="252">
        <f>+C11-C9</f>
        <v>2</v>
      </c>
      <c r="D13" s="252">
        <f>+D11-D9</f>
        <v>1</v>
      </c>
      <c r="E13" s="252">
        <f>+E11-E9</f>
        <v>5</v>
      </c>
      <c r="F13" s="252">
        <f>+F11-F9</f>
        <v>3</v>
      </c>
      <c r="G13" s="252">
        <f>+G11-G9</f>
        <v>2</v>
      </c>
    </row>
    <row r="14" spans="1:7" ht="12.75">
      <c r="A14" s="345" t="s">
        <v>353</v>
      </c>
      <c r="B14" s="344"/>
      <c r="C14" s="18" t="s">
        <v>124</v>
      </c>
      <c r="D14" s="18" t="s">
        <v>124</v>
      </c>
      <c r="E14" s="18" t="s">
        <v>124</v>
      </c>
      <c r="F14" s="18" t="s">
        <v>124</v>
      </c>
      <c r="G14" s="18" t="s">
        <v>124</v>
      </c>
    </row>
    <row r="15" ht="12.75">
      <c r="D15" s="148"/>
    </row>
    <row r="16" ht="12.75">
      <c r="D16" s="148"/>
    </row>
    <row r="17" ht="12.75">
      <c r="D17" s="148"/>
    </row>
    <row r="18" ht="13.5" thickBot="1"/>
    <row r="19" spans="1:7" ht="13.5" thickTop="1">
      <c r="A19" s="331" t="s">
        <v>347</v>
      </c>
      <c r="B19" s="332"/>
      <c r="C19" s="335" t="s">
        <v>352</v>
      </c>
      <c r="D19" s="336"/>
      <c r="E19" s="336"/>
      <c r="F19" s="337"/>
      <c r="G19" s="338"/>
    </row>
    <row r="20" spans="1:7" ht="13.5" thickBot="1">
      <c r="A20" s="333"/>
      <c r="B20" s="334"/>
      <c r="C20" s="144" t="s">
        <v>0</v>
      </c>
      <c r="D20" s="144" t="s">
        <v>1</v>
      </c>
      <c r="E20" s="144" t="s">
        <v>2</v>
      </c>
      <c r="F20" s="144" t="s">
        <v>6</v>
      </c>
      <c r="G20" s="145" t="s">
        <v>3</v>
      </c>
    </row>
    <row r="21" spans="1:7" ht="13.5" thickTop="1">
      <c r="A21" s="340"/>
      <c r="B21" s="341"/>
      <c r="C21" s="16"/>
      <c r="D21" s="16"/>
      <c r="E21" s="16"/>
      <c r="F21" s="16"/>
      <c r="G21" s="16"/>
    </row>
    <row r="22" spans="1:7" ht="12.75">
      <c r="A22" s="345" t="s">
        <v>122</v>
      </c>
      <c r="B22" s="344"/>
      <c r="C22" s="18">
        <v>550</v>
      </c>
      <c r="D22" s="18">
        <v>75</v>
      </c>
      <c r="E22" s="18">
        <v>100</v>
      </c>
      <c r="F22" s="18">
        <v>150</v>
      </c>
      <c r="G22" s="18">
        <v>150</v>
      </c>
    </row>
    <row r="23" spans="1:7" ht="27.75" customHeight="1">
      <c r="A23" s="346" t="s">
        <v>355</v>
      </c>
      <c r="B23" s="347"/>
      <c r="C23" s="18">
        <v>995</v>
      </c>
      <c r="D23" s="18">
        <v>140</v>
      </c>
      <c r="E23" s="18">
        <v>467</v>
      </c>
      <c r="F23" s="18">
        <v>42</v>
      </c>
      <c r="G23" s="18">
        <v>158</v>
      </c>
    </row>
    <row r="24" spans="1:7" ht="12.75">
      <c r="A24" s="345" t="s">
        <v>354</v>
      </c>
      <c r="B24" s="344"/>
      <c r="C24" s="18" t="s">
        <v>180</v>
      </c>
      <c r="D24" s="18" t="s">
        <v>180</v>
      </c>
      <c r="E24" s="18" t="s">
        <v>180</v>
      </c>
      <c r="F24" s="18" t="s">
        <v>124</v>
      </c>
      <c r="G24" s="18" t="s">
        <v>180</v>
      </c>
    </row>
    <row r="25" spans="1:7" ht="12.75">
      <c r="A25" s="279" t="s">
        <v>349</v>
      </c>
      <c r="B25" s="344"/>
      <c r="C25" s="252">
        <v>997</v>
      </c>
      <c r="D25" s="252">
        <v>141</v>
      </c>
      <c r="E25" s="252">
        <v>472</v>
      </c>
      <c r="F25" s="252">
        <v>45</v>
      </c>
      <c r="G25" s="252">
        <v>160</v>
      </c>
    </row>
    <row r="26" spans="1:7" ht="12.75">
      <c r="A26" s="345" t="s">
        <v>354</v>
      </c>
      <c r="B26" s="344"/>
      <c r="C26" s="18" t="s">
        <v>180</v>
      </c>
      <c r="D26" s="18" t="s">
        <v>180</v>
      </c>
      <c r="E26" s="18" t="s">
        <v>180</v>
      </c>
      <c r="F26" s="18" t="s">
        <v>124</v>
      </c>
      <c r="G26" s="18" t="s">
        <v>180</v>
      </c>
    </row>
    <row r="27" spans="1:7" ht="12.75">
      <c r="A27" s="251" t="s">
        <v>350</v>
      </c>
      <c r="B27" s="16"/>
      <c r="C27" s="252">
        <f>+C25-C23</f>
        <v>2</v>
      </c>
      <c r="D27" s="252">
        <f>+D25-D23</f>
        <v>1</v>
      </c>
      <c r="E27" s="252">
        <f>+E25-E23</f>
        <v>5</v>
      </c>
      <c r="F27" s="252">
        <f>+F25-F23</f>
        <v>3</v>
      </c>
      <c r="G27" s="252">
        <f>+G25-G23</f>
        <v>2</v>
      </c>
    </row>
    <row r="28" spans="1:7" ht="12.75">
      <c r="A28" s="345" t="s">
        <v>353</v>
      </c>
      <c r="B28" s="344"/>
      <c r="C28" s="18" t="s">
        <v>124</v>
      </c>
      <c r="D28" s="18" t="s">
        <v>124</v>
      </c>
      <c r="E28" s="18" t="s">
        <v>124</v>
      </c>
      <c r="F28" s="18" t="s">
        <v>124</v>
      </c>
      <c r="G28" s="18" t="s">
        <v>124</v>
      </c>
    </row>
    <row r="58" ht="12.75">
      <c r="D58" s="148"/>
    </row>
    <row r="61" ht="12.75">
      <c r="D61" s="148" t="s">
        <v>318</v>
      </c>
    </row>
    <row r="63" ht="12.75">
      <c r="D63" s="148"/>
    </row>
    <row r="65" ht="12.75">
      <c r="D65" s="148"/>
    </row>
  </sheetData>
  <sheetProtection/>
  <mergeCells count="19">
    <mergeCell ref="A1:G1"/>
    <mergeCell ref="A5:B6"/>
    <mergeCell ref="C5:G5"/>
    <mergeCell ref="A7:B7"/>
    <mergeCell ref="A28:B28"/>
    <mergeCell ref="A23:B23"/>
    <mergeCell ref="A25:B25"/>
    <mergeCell ref="A26:B26"/>
    <mergeCell ref="A8:B8"/>
    <mergeCell ref="A10:B10"/>
    <mergeCell ref="A12:B12"/>
    <mergeCell ref="A22:B22"/>
    <mergeCell ref="A24:B24"/>
    <mergeCell ref="A19:B20"/>
    <mergeCell ref="C19:G19"/>
    <mergeCell ref="A21:B21"/>
    <mergeCell ref="A9:B9"/>
    <mergeCell ref="A11:B11"/>
    <mergeCell ref="A14:B14"/>
  </mergeCells>
  <printOptions/>
  <pageMargins left="0.75" right="0.75" top="1" bottom="1" header="0.5" footer="0.5"/>
  <pageSetup horizontalDpi="600" verticalDpi="600" orientation="portrait" scale="83" r:id="rId1"/>
  <headerFooter alignWithMargins="0">
    <oddHeader>&amp;C&amp;"Arial,Bold"&amp;12Table B-20
Comparison of Construction Emission Estimates
Between Draft And Final EIR</oddHeader>
    <oddFooter>&amp;LN:\\2185\&amp;F:&amp;A&amp;R&amp;D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H182"/>
  <sheetViews>
    <sheetView zoomScalePageLayoutView="0" workbookViewId="0" topLeftCell="A147">
      <selection activeCell="G147" sqref="G147"/>
    </sheetView>
  </sheetViews>
  <sheetFormatPr defaultColWidth="9.140625" defaultRowHeight="12.75"/>
  <cols>
    <col min="1" max="1" width="20.8515625" style="0" customWidth="1"/>
    <col min="2" max="2" width="19.421875" style="0" customWidth="1"/>
    <col min="4" max="5" width="10.7109375" style="0" customWidth="1"/>
    <col min="6" max="6" width="9.57421875" style="0" customWidth="1"/>
    <col min="7" max="7" width="9.7109375" style="0" customWidth="1"/>
  </cols>
  <sheetData>
    <row r="2" spans="1:7" ht="12.75">
      <c r="A2" s="348" t="s">
        <v>224</v>
      </c>
      <c r="B2" s="348"/>
      <c r="C2" s="348"/>
      <c r="D2" s="348"/>
      <c r="E2" s="348"/>
      <c r="F2" s="348"/>
      <c r="G2" s="348"/>
    </row>
    <row r="3" ht="13.5" thickBot="1"/>
    <row r="4" spans="1:8" s="209" customFormat="1" ht="40.5" thickBot="1" thickTop="1">
      <c r="A4" s="205" t="s">
        <v>225</v>
      </c>
      <c r="B4" s="206" t="s">
        <v>226</v>
      </c>
      <c r="C4" s="206" t="s">
        <v>227</v>
      </c>
      <c r="D4" s="207" t="s">
        <v>228</v>
      </c>
      <c r="E4" s="206" t="s">
        <v>229</v>
      </c>
      <c r="F4" s="206" t="s">
        <v>230</v>
      </c>
      <c r="G4" s="208" t="s">
        <v>231</v>
      </c>
      <c r="H4" s="209" t="s">
        <v>5</v>
      </c>
    </row>
    <row r="5" spans="1:8" ht="13.5" thickTop="1">
      <c r="A5" s="210" t="s">
        <v>232</v>
      </c>
      <c r="B5" s="210"/>
      <c r="C5" s="210"/>
      <c r="D5" s="210"/>
      <c r="E5" s="211"/>
      <c r="F5" s="210"/>
      <c r="G5" s="210"/>
      <c r="H5" s="212" t="s">
        <v>5</v>
      </c>
    </row>
    <row r="6" spans="1:8" ht="12.75">
      <c r="A6" s="213" t="s">
        <v>264</v>
      </c>
      <c r="B6" s="210" t="s">
        <v>233</v>
      </c>
      <c r="C6" s="210">
        <v>6</v>
      </c>
      <c r="D6" s="210">
        <v>1.2</v>
      </c>
      <c r="E6" s="211">
        <f aca="true" t="shared" si="0" ref="E6:E20">+ROUND(C6*D6,0)</f>
        <v>7</v>
      </c>
      <c r="F6" s="210">
        <v>104</v>
      </c>
      <c r="G6" s="210">
        <f>+E6*F6</f>
        <v>728</v>
      </c>
      <c r="H6" s="20"/>
    </row>
    <row r="7" spans="1:8" ht="12.75">
      <c r="A7" s="213"/>
      <c r="B7" s="210" t="s">
        <v>234</v>
      </c>
      <c r="C7" s="210">
        <v>115</v>
      </c>
      <c r="D7" s="210">
        <v>1.2</v>
      </c>
      <c r="E7" s="211">
        <f t="shared" si="0"/>
        <v>138</v>
      </c>
      <c r="F7" s="210">
        <v>23</v>
      </c>
      <c r="G7" s="210">
        <f>+E7*F7</f>
        <v>3174</v>
      </c>
      <c r="H7" s="20"/>
    </row>
    <row r="8" spans="1:8" ht="12.75">
      <c r="A8" s="210"/>
      <c r="B8" s="210" t="s">
        <v>235</v>
      </c>
      <c r="C8" s="210">
        <v>384</v>
      </c>
      <c r="D8" s="210">
        <v>1.2</v>
      </c>
      <c r="E8" s="211">
        <f t="shared" si="0"/>
        <v>461</v>
      </c>
      <c r="F8" s="210">
        <v>19</v>
      </c>
      <c r="G8" s="210">
        <f>+E8*F8</f>
        <v>8759</v>
      </c>
      <c r="H8" s="20"/>
    </row>
    <row r="9" spans="1:8" ht="12.75">
      <c r="A9" s="210"/>
      <c r="B9" s="210" t="s">
        <v>236</v>
      </c>
      <c r="C9" s="210">
        <v>25</v>
      </c>
      <c r="D9" s="210">
        <v>1.2</v>
      </c>
      <c r="E9" s="211">
        <f t="shared" si="0"/>
        <v>30</v>
      </c>
      <c r="F9" s="210">
        <v>3</v>
      </c>
      <c r="G9" s="210">
        <f>+E9*F9</f>
        <v>90</v>
      </c>
      <c r="H9" s="20"/>
    </row>
    <row r="10" spans="1:8" ht="12.75">
      <c r="A10" s="210"/>
      <c r="B10" s="210" t="s">
        <v>237</v>
      </c>
      <c r="C10" s="210">
        <v>21</v>
      </c>
      <c r="D10" s="210">
        <v>1.2</v>
      </c>
      <c r="E10" s="211">
        <f t="shared" si="0"/>
        <v>25</v>
      </c>
      <c r="F10" s="210">
        <v>19</v>
      </c>
      <c r="G10" s="210">
        <f>+E10*F10</f>
        <v>475</v>
      </c>
      <c r="H10" s="20"/>
    </row>
    <row r="11" spans="1:8" ht="12.75">
      <c r="A11" s="213" t="s">
        <v>265</v>
      </c>
      <c r="B11" s="210" t="s">
        <v>238</v>
      </c>
      <c r="C11" s="210">
        <v>9</v>
      </c>
      <c r="D11" s="210">
        <v>1.2</v>
      </c>
      <c r="E11" s="211">
        <f t="shared" si="0"/>
        <v>11</v>
      </c>
      <c r="F11" s="210">
        <v>104</v>
      </c>
      <c r="G11" s="210">
        <f>E11*F11</f>
        <v>1144</v>
      </c>
      <c r="H11" s="20"/>
    </row>
    <row r="12" spans="1:7" ht="12.75">
      <c r="A12" s="210" t="s">
        <v>5</v>
      </c>
      <c r="B12" s="210" t="s">
        <v>239</v>
      </c>
      <c r="C12" s="210">
        <v>384</v>
      </c>
      <c r="D12" s="210">
        <v>1.2</v>
      </c>
      <c r="E12" s="211">
        <f t="shared" si="0"/>
        <v>461</v>
      </c>
      <c r="F12" s="210">
        <v>19</v>
      </c>
      <c r="G12" s="214">
        <f>E12*F12*0.3</f>
        <v>2627.7</v>
      </c>
    </row>
    <row r="13" spans="1:7" ht="12.75">
      <c r="A13" s="210"/>
      <c r="B13" s="210" t="s">
        <v>240</v>
      </c>
      <c r="C13" s="210">
        <v>2600</v>
      </c>
      <c r="D13" s="210">
        <v>1.2</v>
      </c>
      <c r="E13" s="211">
        <f t="shared" si="0"/>
        <v>3120</v>
      </c>
      <c r="F13" s="210">
        <v>1.5</v>
      </c>
      <c r="G13" s="210">
        <f>E13*F13</f>
        <v>4680</v>
      </c>
    </row>
    <row r="14" spans="1:7" ht="12.75">
      <c r="A14" s="210"/>
      <c r="B14" s="215" t="s">
        <v>241</v>
      </c>
      <c r="C14" s="210">
        <v>96</v>
      </c>
      <c r="D14" s="210">
        <v>1.2</v>
      </c>
      <c r="E14" s="211">
        <f t="shared" si="0"/>
        <v>115</v>
      </c>
      <c r="F14" s="210">
        <v>23</v>
      </c>
      <c r="G14" s="210">
        <f>E14*F14*0.3</f>
        <v>793.5</v>
      </c>
    </row>
    <row r="15" spans="1:7" ht="12.75">
      <c r="A15" s="210"/>
      <c r="B15" s="210" t="s">
        <v>242</v>
      </c>
      <c r="C15" s="210">
        <v>11</v>
      </c>
      <c r="D15" s="210">
        <v>1.2</v>
      </c>
      <c r="E15" s="211">
        <f t="shared" si="0"/>
        <v>13</v>
      </c>
      <c r="F15" s="210">
        <v>80</v>
      </c>
      <c r="G15" s="210">
        <f aca="true" t="shared" si="1" ref="G15:G20">E15*F15</f>
        <v>1040</v>
      </c>
    </row>
    <row r="16" spans="1:8" ht="12.75">
      <c r="A16" s="210"/>
      <c r="B16" s="210" t="s">
        <v>243</v>
      </c>
      <c r="C16" s="210">
        <v>600</v>
      </c>
      <c r="D16" s="210">
        <v>1.2</v>
      </c>
      <c r="E16" s="211">
        <f t="shared" si="0"/>
        <v>720</v>
      </c>
      <c r="F16" s="210">
        <v>3</v>
      </c>
      <c r="G16" s="210">
        <f t="shared" si="1"/>
        <v>2160</v>
      </c>
      <c r="H16" t="s">
        <v>5</v>
      </c>
    </row>
    <row r="17" spans="1:7" ht="12.75">
      <c r="A17" s="210"/>
      <c r="B17" s="210" t="s">
        <v>237</v>
      </c>
      <c r="C17" s="210">
        <v>20</v>
      </c>
      <c r="D17" s="210">
        <v>1.2</v>
      </c>
      <c r="E17" s="211">
        <f t="shared" si="0"/>
        <v>24</v>
      </c>
      <c r="F17" s="210">
        <v>19</v>
      </c>
      <c r="G17" s="210">
        <f t="shared" si="1"/>
        <v>456</v>
      </c>
    </row>
    <row r="18" spans="1:7" ht="12.75">
      <c r="A18" s="210"/>
      <c r="B18" s="210" t="s">
        <v>244</v>
      </c>
      <c r="C18" s="210">
        <v>0</v>
      </c>
      <c r="D18" s="210">
        <v>1.2</v>
      </c>
      <c r="E18" s="211">
        <f t="shared" si="0"/>
        <v>0</v>
      </c>
      <c r="F18" s="210">
        <v>514</v>
      </c>
      <c r="G18" s="210">
        <f t="shared" si="1"/>
        <v>0</v>
      </c>
    </row>
    <row r="19" spans="1:7" ht="12.75">
      <c r="A19" s="210"/>
      <c r="B19" s="210" t="s">
        <v>245</v>
      </c>
      <c r="C19" s="210">
        <v>16</v>
      </c>
      <c r="D19" s="210">
        <v>1.2</v>
      </c>
      <c r="E19" s="211">
        <f t="shared" si="0"/>
        <v>19</v>
      </c>
      <c r="F19" s="210">
        <v>80</v>
      </c>
      <c r="G19" s="210">
        <f t="shared" si="1"/>
        <v>1520</v>
      </c>
    </row>
    <row r="20" spans="1:7" ht="13.5" thickBot="1">
      <c r="A20" s="210"/>
      <c r="B20" s="10" t="s">
        <v>246</v>
      </c>
      <c r="C20" s="10">
        <v>12</v>
      </c>
      <c r="D20" s="210">
        <v>1.2</v>
      </c>
      <c r="E20" s="211">
        <f t="shared" si="0"/>
        <v>14</v>
      </c>
      <c r="F20" s="10">
        <v>0</v>
      </c>
      <c r="G20" s="10">
        <f t="shared" si="1"/>
        <v>0</v>
      </c>
    </row>
    <row r="21" spans="1:7" ht="14.25" thickBot="1" thickTop="1">
      <c r="A21" s="10"/>
      <c r="B21" s="10" t="s">
        <v>247</v>
      </c>
      <c r="C21" s="10">
        <f>SUM(C5:C20)</f>
        <v>4299</v>
      </c>
      <c r="D21" s="216"/>
      <c r="E21" s="217">
        <f>SUM(E5:E20)</f>
        <v>5158</v>
      </c>
      <c r="F21" s="10" t="s">
        <v>5</v>
      </c>
      <c r="G21" s="10">
        <f>SUM(G5:G20)</f>
        <v>27647.2</v>
      </c>
    </row>
    <row r="22" spans="1:7" ht="15.75" thickTop="1">
      <c r="A22" s="210" t="s">
        <v>266</v>
      </c>
      <c r="B22" s="210" t="s">
        <v>238</v>
      </c>
      <c r="C22" s="210">
        <v>2</v>
      </c>
      <c r="D22" s="210">
        <v>1.2</v>
      </c>
      <c r="E22" s="211">
        <f aca="true" t="shared" si="2" ref="E22:E31">+ROUND(C22*D22,0)</f>
        <v>2</v>
      </c>
      <c r="F22" s="210">
        <v>104</v>
      </c>
      <c r="G22" s="210">
        <f>E22*F22</f>
        <v>208</v>
      </c>
    </row>
    <row r="23" spans="1:8" ht="12.75">
      <c r="A23" s="210" t="s">
        <v>5</v>
      </c>
      <c r="B23" s="210" t="s">
        <v>239</v>
      </c>
      <c r="C23" s="210">
        <v>48</v>
      </c>
      <c r="D23" s="210">
        <v>1.2</v>
      </c>
      <c r="E23" s="211">
        <f t="shared" si="2"/>
        <v>58</v>
      </c>
      <c r="F23" s="210">
        <v>19</v>
      </c>
      <c r="G23" s="214">
        <f>E23*F23*0.3</f>
        <v>330.59999999999997</v>
      </c>
      <c r="H23" t="s">
        <v>5</v>
      </c>
    </row>
    <row r="24" spans="1:8" ht="12.75">
      <c r="A24" s="210"/>
      <c r="B24" s="210" t="s">
        <v>240</v>
      </c>
      <c r="C24" s="210">
        <v>230</v>
      </c>
      <c r="D24" s="210">
        <v>1.2</v>
      </c>
      <c r="E24" s="211">
        <f t="shared" si="2"/>
        <v>276</v>
      </c>
      <c r="F24" s="210">
        <v>1.5</v>
      </c>
      <c r="G24" s="210">
        <f>E24*F24</f>
        <v>414</v>
      </c>
      <c r="H24" t="s">
        <v>5</v>
      </c>
    </row>
    <row r="25" spans="1:7" ht="12.75">
      <c r="A25" s="210"/>
      <c r="B25" s="210" t="s">
        <v>241</v>
      </c>
      <c r="C25" s="210">
        <v>77</v>
      </c>
      <c r="D25" s="210">
        <v>1.2</v>
      </c>
      <c r="E25" s="211">
        <f t="shared" si="2"/>
        <v>92</v>
      </c>
      <c r="F25" s="210">
        <v>23</v>
      </c>
      <c r="G25" s="210">
        <f>E25*F25*0.3</f>
        <v>634.8</v>
      </c>
    </row>
    <row r="26" spans="1:8" ht="12.75">
      <c r="A26" s="210"/>
      <c r="B26" s="210" t="s">
        <v>242</v>
      </c>
      <c r="C26" s="210">
        <v>0</v>
      </c>
      <c r="D26" s="210">
        <v>1.2</v>
      </c>
      <c r="E26" s="211">
        <f t="shared" si="2"/>
        <v>0</v>
      </c>
      <c r="F26" s="210">
        <v>80</v>
      </c>
      <c r="G26" s="210">
        <f aca="true" t="shared" si="3" ref="G26:G31">E26*F26</f>
        <v>0</v>
      </c>
      <c r="H26" t="s">
        <v>5</v>
      </c>
    </row>
    <row r="27" spans="1:8" ht="12.75">
      <c r="A27" s="210"/>
      <c r="B27" s="210" t="s">
        <v>243</v>
      </c>
      <c r="C27" s="210">
        <v>0</v>
      </c>
      <c r="D27" s="210">
        <v>1.2</v>
      </c>
      <c r="E27" s="211">
        <f t="shared" si="2"/>
        <v>0</v>
      </c>
      <c r="F27" s="210">
        <v>3</v>
      </c>
      <c r="G27" s="210">
        <f t="shared" si="3"/>
        <v>0</v>
      </c>
      <c r="H27" t="s">
        <v>5</v>
      </c>
    </row>
    <row r="28" spans="1:7" ht="12.75">
      <c r="A28" s="210"/>
      <c r="B28" s="210" t="s">
        <v>237</v>
      </c>
      <c r="C28" s="210">
        <v>5</v>
      </c>
      <c r="D28" s="210">
        <v>1.2</v>
      </c>
      <c r="E28" s="211">
        <f t="shared" si="2"/>
        <v>6</v>
      </c>
      <c r="F28" s="210">
        <v>19</v>
      </c>
      <c r="G28" s="210">
        <f t="shared" si="3"/>
        <v>114</v>
      </c>
    </row>
    <row r="29" spans="1:7" ht="12.75">
      <c r="A29" s="210"/>
      <c r="B29" s="210" t="s">
        <v>244</v>
      </c>
      <c r="C29" s="210">
        <v>0</v>
      </c>
      <c r="D29" s="210">
        <v>1.2</v>
      </c>
      <c r="E29" s="211">
        <f t="shared" si="2"/>
        <v>0</v>
      </c>
      <c r="F29" s="210">
        <v>514</v>
      </c>
      <c r="G29" s="210">
        <f t="shared" si="3"/>
        <v>0</v>
      </c>
    </row>
    <row r="30" spans="1:7" ht="12.75">
      <c r="A30" s="210"/>
      <c r="B30" s="210" t="s">
        <v>245</v>
      </c>
      <c r="C30" s="210">
        <v>7</v>
      </c>
      <c r="D30" s="210">
        <v>1.2</v>
      </c>
      <c r="E30" s="211">
        <f t="shared" si="2"/>
        <v>8</v>
      </c>
      <c r="F30" s="210">
        <v>80</v>
      </c>
      <c r="G30" s="210">
        <f t="shared" si="3"/>
        <v>640</v>
      </c>
    </row>
    <row r="31" spans="1:7" ht="13.5" thickBot="1">
      <c r="A31" s="210"/>
      <c r="B31" s="10" t="s">
        <v>246</v>
      </c>
      <c r="C31" s="10">
        <v>0</v>
      </c>
      <c r="D31" s="210">
        <v>1.2</v>
      </c>
      <c r="E31" s="211">
        <f t="shared" si="2"/>
        <v>0</v>
      </c>
      <c r="F31" s="210">
        <v>0</v>
      </c>
      <c r="G31" s="210">
        <f t="shared" si="3"/>
        <v>0</v>
      </c>
    </row>
    <row r="32" spans="1:7" ht="14.25" thickBot="1" thickTop="1">
      <c r="A32" s="10"/>
      <c r="B32" s="10" t="s">
        <v>248</v>
      </c>
      <c r="C32" s="10">
        <f>SUM(C22:C31)</f>
        <v>369</v>
      </c>
      <c r="D32" s="216" t="s">
        <v>5</v>
      </c>
      <c r="E32" s="217">
        <f>SUM(E22:E31)</f>
        <v>442</v>
      </c>
      <c r="F32" s="216" t="s">
        <v>5</v>
      </c>
      <c r="G32" s="216">
        <f>SUM(G22:G31)</f>
        <v>2341.3999999999996</v>
      </c>
    </row>
    <row r="33" spans="1:7" ht="15.75" thickTop="1">
      <c r="A33" s="210" t="s">
        <v>267</v>
      </c>
      <c r="B33" s="210" t="s">
        <v>238</v>
      </c>
      <c r="C33" s="210">
        <v>4</v>
      </c>
      <c r="D33" s="210">
        <v>1.2</v>
      </c>
      <c r="E33" s="211">
        <f aca="true" t="shared" si="4" ref="E33:E42">+ROUND(C33*D33,0)</f>
        <v>5</v>
      </c>
      <c r="F33" s="210">
        <v>104</v>
      </c>
      <c r="G33" s="210">
        <f>E33*F33</f>
        <v>520</v>
      </c>
    </row>
    <row r="34" spans="1:7" ht="12.75">
      <c r="A34" s="210" t="s">
        <v>5</v>
      </c>
      <c r="B34" s="210" t="s">
        <v>239</v>
      </c>
      <c r="C34" s="210">
        <v>100</v>
      </c>
      <c r="D34" s="210">
        <v>1.2</v>
      </c>
      <c r="E34" s="211">
        <f t="shared" si="4"/>
        <v>120</v>
      </c>
      <c r="F34" s="210">
        <v>19</v>
      </c>
      <c r="G34" s="210">
        <f>E34*F34*0.3</f>
        <v>684</v>
      </c>
    </row>
    <row r="35" spans="1:7" ht="12.75">
      <c r="A35" s="210"/>
      <c r="B35" s="210" t="s">
        <v>240</v>
      </c>
      <c r="C35" s="210">
        <v>320</v>
      </c>
      <c r="D35" s="210">
        <v>1.2</v>
      </c>
      <c r="E35" s="211">
        <f t="shared" si="4"/>
        <v>384</v>
      </c>
      <c r="F35" s="210">
        <v>1.5</v>
      </c>
      <c r="G35" s="210">
        <f>E35*F35</f>
        <v>576</v>
      </c>
    </row>
    <row r="36" spans="1:7" ht="12.75">
      <c r="A36" s="210"/>
      <c r="B36" s="215" t="s">
        <v>241</v>
      </c>
      <c r="C36" s="210">
        <v>80</v>
      </c>
      <c r="D36" s="210">
        <v>1.2</v>
      </c>
      <c r="E36" s="211">
        <f t="shared" si="4"/>
        <v>96</v>
      </c>
      <c r="F36" s="210">
        <v>23</v>
      </c>
      <c r="G36" s="210">
        <f>E36*F36*0.3</f>
        <v>662.4</v>
      </c>
    </row>
    <row r="37" spans="1:7" ht="12.75">
      <c r="A37" s="210"/>
      <c r="B37" s="210" t="s">
        <v>242</v>
      </c>
      <c r="C37" s="210">
        <v>0</v>
      </c>
      <c r="D37" s="210">
        <v>1.2</v>
      </c>
      <c r="E37" s="211">
        <f t="shared" si="4"/>
        <v>0</v>
      </c>
      <c r="F37" s="210">
        <v>80</v>
      </c>
      <c r="G37" s="210">
        <f aca="true" t="shared" si="5" ref="G37:G42">E37*F37</f>
        <v>0</v>
      </c>
    </row>
    <row r="38" spans="1:7" ht="12.75">
      <c r="A38" s="210"/>
      <c r="B38" s="210" t="s">
        <v>243</v>
      </c>
      <c r="C38" s="210">
        <v>0</v>
      </c>
      <c r="D38" s="210">
        <v>1.2</v>
      </c>
      <c r="E38" s="211">
        <f t="shared" si="4"/>
        <v>0</v>
      </c>
      <c r="F38" s="210">
        <v>3</v>
      </c>
      <c r="G38" s="210">
        <f t="shared" si="5"/>
        <v>0</v>
      </c>
    </row>
    <row r="39" spans="1:7" ht="12.75">
      <c r="A39" s="210"/>
      <c r="B39" s="210" t="s">
        <v>237</v>
      </c>
      <c r="C39" s="210">
        <v>0</v>
      </c>
      <c r="D39" s="210">
        <v>1.2</v>
      </c>
      <c r="E39" s="211">
        <f t="shared" si="4"/>
        <v>0</v>
      </c>
      <c r="F39" s="210">
        <v>19</v>
      </c>
      <c r="G39" s="210">
        <f t="shared" si="5"/>
        <v>0</v>
      </c>
    </row>
    <row r="40" spans="1:7" ht="12.75">
      <c r="A40" s="210"/>
      <c r="B40" s="210" t="s">
        <v>244</v>
      </c>
      <c r="C40" s="210">
        <v>0</v>
      </c>
      <c r="D40" s="210">
        <v>1.2</v>
      </c>
      <c r="E40" s="211">
        <f t="shared" si="4"/>
        <v>0</v>
      </c>
      <c r="F40" s="210">
        <v>514</v>
      </c>
      <c r="G40" s="210">
        <f t="shared" si="5"/>
        <v>0</v>
      </c>
    </row>
    <row r="41" spans="1:7" ht="12.75">
      <c r="A41" s="210"/>
      <c r="B41" s="210" t="s">
        <v>245</v>
      </c>
      <c r="C41" s="210">
        <v>4</v>
      </c>
      <c r="D41" s="210">
        <v>1.2</v>
      </c>
      <c r="E41" s="211">
        <f t="shared" si="4"/>
        <v>5</v>
      </c>
      <c r="F41" s="210">
        <v>80</v>
      </c>
      <c r="G41" s="210">
        <f t="shared" si="5"/>
        <v>400</v>
      </c>
    </row>
    <row r="42" spans="1:7" ht="13.5" thickBot="1">
      <c r="A42" s="210"/>
      <c r="B42" s="210" t="s">
        <v>246</v>
      </c>
      <c r="C42" s="210">
        <v>1</v>
      </c>
      <c r="D42" s="210">
        <v>1.2</v>
      </c>
      <c r="E42" s="211">
        <f t="shared" si="4"/>
        <v>1</v>
      </c>
      <c r="F42" s="210">
        <v>0</v>
      </c>
      <c r="G42" s="210">
        <f t="shared" si="5"/>
        <v>0</v>
      </c>
    </row>
    <row r="43" spans="1:7" ht="14.25" thickBot="1" thickTop="1">
      <c r="A43" s="10"/>
      <c r="B43" s="216" t="s">
        <v>249</v>
      </c>
      <c r="C43" s="216">
        <f>SUM(C33:C42)</f>
        <v>509</v>
      </c>
      <c r="D43" s="216" t="s">
        <v>5</v>
      </c>
      <c r="E43" s="217">
        <f>SUM(E33:E42)</f>
        <v>611</v>
      </c>
      <c r="F43" s="216" t="s">
        <v>5</v>
      </c>
      <c r="G43" s="216">
        <f>SUM(G33:G42)</f>
        <v>2842.4</v>
      </c>
    </row>
    <row r="44" spans="1:7" ht="13.5" thickTop="1">
      <c r="A44" s="220" t="s">
        <v>251</v>
      </c>
      <c r="B44" s="220" t="s">
        <v>238</v>
      </c>
      <c r="C44" s="210">
        <v>0</v>
      </c>
      <c r="D44" s="210">
        <v>1.2</v>
      </c>
      <c r="E44" s="211">
        <f aca="true" t="shared" si="6" ref="E44:E53">+ROUND(C44*D44,0)</f>
        <v>0</v>
      </c>
      <c r="F44" s="220">
        <v>104</v>
      </c>
      <c r="G44" s="210">
        <f>E44*F44</f>
        <v>0</v>
      </c>
    </row>
    <row r="45" spans="1:7" ht="15">
      <c r="A45" s="210" t="s">
        <v>268</v>
      </c>
      <c r="B45" s="210" t="s">
        <v>239</v>
      </c>
      <c r="C45" s="210">
        <v>7</v>
      </c>
      <c r="D45" s="210">
        <v>1.2</v>
      </c>
      <c r="E45" s="211">
        <f t="shared" si="6"/>
        <v>8</v>
      </c>
      <c r="F45" s="210">
        <v>19</v>
      </c>
      <c r="G45" s="214">
        <f>E45*F45*0.3</f>
        <v>45.6</v>
      </c>
    </row>
    <row r="46" spans="1:7" ht="12.75">
      <c r="A46" s="210"/>
      <c r="B46" s="210" t="s">
        <v>240</v>
      </c>
      <c r="C46" s="210">
        <v>480</v>
      </c>
      <c r="D46" s="210">
        <v>1.2</v>
      </c>
      <c r="E46" s="211">
        <f t="shared" si="6"/>
        <v>576</v>
      </c>
      <c r="F46" s="210">
        <v>1.5</v>
      </c>
      <c r="G46" s="210">
        <f>E46*F46</f>
        <v>864</v>
      </c>
    </row>
    <row r="47" spans="1:7" ht="12.75">
      <c r="A47" s="210"/>
      <c r="B47" s="210" t="s">
        <v>241</v>
      </c>
      <c r="C47" s="210">
        <v>301</v>
      </c>
      <c r="D47" s="210">
        <v>1.2</v>
      </c>
      <c r="E47" s="211">
        <f t="shared" si="6"/>
        <v>361</v>
      </c>
      <c r="F47" s="210">
        <v>23</v>
      </c>
      <c r="G47" s="210">
        <f>E47*F47*0.3</f>
        <v>2490.9</v>
      </c>
    </row>
    <row r="48" spans="1:7" ht="12.75">
      <c r="A48" s="210"/>
      <c r="B48" s="210" t="s">
        <v>242</v>
      </c>
      <c r="C48" s="210">
        <v>0</v>
      </c>
      <c r="D48" s="210">
        <v>1.2</v>
      </c>
      <c r="E48" s="211">
        <f t="shared" si="6"/>
        <v>0</v>
      </c>
      <c r="F48" s="210">
        <v>80</v>
      </c>
      <c r="G48" s="210">
        <f aca="true" t="shared" si="7" ref="G48:G53">E48*F48</f>
        <v>0</v>
      </c>
    </row>
    <row r="49" spans="1:7" ht="12.75">
      <c r="A49" s="210"/>
      <c r="B49" s="210" t="s">
        <v>243</v>
      </c>
      <c r="C49" s="210">
        <v>80</v>
      </c>
      <c r="D49" s="210">
        <v>1.2</v>
      </c>
      <c r="E49" s="211">
        <f t="shared" si="6"/>
        <v>96</v>
      </c>
      <c r="F49" s="210">
        <v>3</v>
      </c>
      <c r="G49" s="210">
        <f t="shared" si="7"/>
        <v>288</v>
      </c>
    </row>
    <row r="50" spans="1:7" ht="12.75">
      <c r="A50" s="210"/>
      <c r="B50" s="210" t="s">
        <v>237</v>
      </c>
      <c r="C50" s="210">
        <v>132</v>
      </c>
      <c r="D50" s="210">
        <v>1.2</v>
      </c>
      <c r="E50" s="211">
        <f t="shared" si="6"/>
        <v>158</v>
      </c>
      <c r="F50" s="210">
        <v>19</v>
      </c>
      <c r="G50" s="210">
        <f t="shared" si="7"/>
        <v>3002</v>
      </c>
    </row>
    <row r="51" spans="1:7" ht="12.75">
      <c r="A51" s="210"/>
      <c r="B51" s="210" t="s">
        <v>244</v>
      </c>
      <c r="C51" s="210">
        <v>0</v>
      </c>
      <c r="D51" s="210">
        <v>1.2</v>
      </c>
      <c r="E51" s="211">
        <f t="shared" si="6"/>
        <v>0</v>
      </c>
      <c r="F51" s="210">
        <v>514</v>
      </c>
      <c r="G51" s="210">
        <f t="shared" si="7"/>
        <v>0</v>
      </c>
    </row>
    <row r="52" spans="1:7" ht="12.75">
      <c r="A52" s="210"/>
      <c r="B52" s="210" t="s">
        <v>245</v>
      </c>
      <c r="C52" s="210">
        <v>11</v>
      </c>
      <c r="D52" s="210">
        <v>1.2</v>
      </c>
      <c r="E52" s="211">
        <f t="shared" si="6"/>
        <v>13</v>
      </c>
      <c r="F52" s="210">
        <v>80</v>
      </c>
      <c r="G52" s="210">
        <f t="shared" si="7"/>
        <v>1040</v>
      </c>
    </row>
    <row r="53" spans="1:7" ht="13.5" thickBot="1">
      <c r="A53" s="210"/>
      <c r="B53" s="10" t="s">
        <v>246</v>
      </c>
      <c r="C53" s="210">
        <v>10</v>
      </c>
      <c r="D53" s="210">
        <v>1.2</v>
      </c>
      <c r="E53" s="211">
        <f t="shared" si="6"/>
        <v>12</v>
      </c>
      <c r="F53" s="10">
        <v>0</v>
      </c>
      <c r="G53" s="10">
        <f t="shared" si="7"/>
        <v>0</v>
      </c>
    </row>
    <row r="54" spans="1:7" ht="14.25" thickBot="1" thickTop="1">
      <c r="A54" s="10"/>
      <c r="B54" s="10" t="s">
        <v>252</v>
      </c>
      <c r="C54" s="216">
        <f>SUM(C44:C53)</f>
        <v>1021</v>
      </c>
      <c r="D54" s="216" t="s">
        <v>5</v>
      </c>
      <c r="E54" s="217">
        <f>SUM(E44:E53)</f>
        <v>1224</v>
      </c>
      <c r="F54" s="10" t="s">
        <v>5</v>
      </c>
      <c r="G54" s="10">
        <f>SUM(G44:G53)</f>
        <v>7730.5</v>
      </c>
    </row>
    <row r="55" spans="1:7" ht="13.5" thickTop="1">
      <c r="A55" s="20"/>
      <c r="B55" s="20"/>
      <c r="C55" s="20"/>
      <c r="D55" s="20"/>
      <c r="E55" s="246"/>
      <c r="F55" s="20"/>
      <c r="G55" s="20"/>
    </row>
    <row r="56" spans="1:7" ht="12.75">
      <c r="A56" s="349" t="s">
        <v>319</v>
      </c>
      <c r="B56" s="330"/>
      <c r="C56" s="330"/>
      <c r="D56" s="330"/>
      <c r="E56" s="330"/>
      <c r="F56" s="330"/>
      <c r="G56" s="330"/>
    </row>
    <row r="57" spans="1:7" ht="12.75">
      <c r="A57" s="26"/>
      <c r="B57" s="148"/>
      <c r="C57" s="148"/>
      <c r="D57" s="148"/>
      <c r="E57" s="148"/>
      <c r="F57" s="148"/>
      <c r="G57" s="148"/>
    </row>
    <row r="58" spans="1:7" ht="12.75">
      <c r="A58" s="20"/>
      <c r="B58" s="20"/>
      <c r="C58" s="20"/>
      <c r="D58" s="20"/>
      <c r="E58" s="246"/>
      <c r="F58" s="20"/>
      <c r="G58" s="20"/>
    </row>
    <row r="59" spans="1:7" ht="13.5" thickBot="1">
      <c r="A59" s="20"/>
      <c r="B59" s="20"/>
      <c r="C59" s="20"/>
      <c r="D59" s="20"/>
      <c r="E59" s="246"/>
      <c r="F59" s="20"/>
      <c r="G59" s="20"/>
    </row>
    <row r="60" spans="1:7" ht="40.5" thickBot="1" thickTop="1">
      <c r="A60" s="205" t="s">
        <v>225</v>
      </c>
      <c r="B60" s="206" t="s">
        <v>226</v>
      </c>
      <c r="C60" s="206" t="s">
        <v>227</v>
      </c>
      <c r="D60" s="207" t="s">
        <v>228</v>
      </c>
      <c r="E60" s="218" t="s">
        <v>229</v>
      </c>
      <c r="F60" s="206" t="s">
        <v>230</v>
      </c>
      <c r="G60" s="219" t="s">
        <v>250</v>
      </c>
    </row>
    <row r="61" spans="1:7" ht="13.5" thickTop="1">
      <c r="A61" s="220" t="s">
        <v>251</v>
      </c>
      <c r="B61" s="220" t="s">
        <v>238</v>
      </c>
      <c r="C61" s="210">
        <v>0</v>
      </c>
      <c r="D61" s="210">
        <v>1.2</v>
      </c>
      <c r="E61" s="211">
        <f aca="true" t="shared" si="8" ref="E61:E70">+ROUND(C61*D61,0)</f>
        <v>0</v>
      </c>
      <c r="F61" s="220">
        <v>104</v>
      </c>
      <c r="G61" s="210">
        <f>E61*F61</f>
        <v>0</v>
      </c>
    </row>
    <row r="62" spans="1:7" ht="15">
      <c r="A62" s="210" t="s">
        <v>268</v>
      </c>
      <c r="B62" s="210" t="s">
        <v>239</v>
      </c>
      <c r="C62" s="210">
        <v>7</v>
      </c>
      <c r="D62" s="210">
        <v>1.2</v>
      </c>
      <c r="E62" s="211">
        <f t="shared" si="8"/>
        <v>8</v>
      </c>
      <c r="F62" s="210">
        <v>19</v>
      </c>
      <c r="G62" s="214">
        <f>E62*F62*0.3</f>
        <v>45.6</v>
      </c>
    </row>
    <row r="63" spans="1:7" ht="12.75">
      <c r="A63" s="210"/>
      <c r="B63" s="210" t="s">
        <v>240</v>
      </c>
      <c r="C63" s="210">
        <v>480</v>
      </c>
      <c r="D63" s="210">
        <v>1.2</v>
      </c>
      <c r="E63" s="211">
        <f t="shared" si="8"/>
        <v>576</v>
      </c>
      <c r="F63" s="210">
        <v>1.5</v>
      </c>
      <c r="G63" s="210">
        <f>E63*F63</f>
        <v>864</v>
      </c>
    </row>
    <row r="64" spans="1:7" ht="12.75">
      <c r="A64" s="210"/>
      <c r="B64" s="210" t="s">
        <v>241</v>
      </c>
      <c r="C64" s="210">
        <v>301</v>
      </c>
      <c r="D64" s="210">
        <v>1.2</v>
      </c>
      <c r="E64" s="211">
        <f t="shared" si="8"/>
        <v>361</v>
      </c>
      <c r="F64" s="210">
        <v>23</v>
      </c>
      <c r="G64" s="210">
        <f>E64*F64*0.3</f>
        <v>2490.9</v>
      </c>
    </row>
    <row r="65" spans="1:7" ht="12.75">
      <c r="A65" s="210"/>
      <c r="B65" s="210" t="s">
        <v>242</v>
      </c>
      <c r="C65" s="210">
        <v>0</v>
      </c>
      <c r="D65" s="210">
        <v>1.2</v>
      </c>
      <c r="E65" s="211">
        <f t="shared" si="8"/>
        <v>0</v>
      </c>
      <c r="F65" s="210">
        <v>80</v>
      </c>
      <c r="G65" s="210">
        <f aca="true" t="shared" si="9" ref="G65:G70">E65*F65</f>
        <v>0</v>
      </c>
    </row>
    <row r="66" spans="1:8" ht="12.75">
      <c r="A66" s="210"/>
      <c r="B66" s="210" t="s">
        <v>243</v>
      </c>
      <c r="C66" s="210">
        <v>80</v>
      </c>
      <c r="D66" s="210">
        <v>1.2</v>
      </c>
      <c r="E66" s="211">
        <f t="shared" si="8"/>
        <v>96</v>
      </c>
      <c r="F66" s="210">
        <v>3</v>
      </c>
      <c r="G66" s="210">
        <f t="shared" si="9"/>
        <v>288</v>
      </c>
      <c r="H66" t="s">
        <v>5</v>
      </c>
    </row>
    <row r="67" spans="1:7" ht="12.75">
      <c r="A67" s="210"/>
      <c r="B67" s="210" t="s">
        <v>237</v>
      </c>
      <c r="C67" s="210">
        <v>132</v>
      </c>
      <c r="D67" s="210">
        <v>1.2</v>
      </c>
      <c r="E67" s="211">
        <f t="shared" si="8"/>
        <v>158</v>
      </c>
      <c r="F67" s="210">
        <v>19</v>
      </c>
      <c r="G67" s="210">
        <f t="shared" si="9"/>
        <v>3002</v>
      </c>
    </row>
    <row r="68" spans="1:7" ht="12.75">
      <c r="A68" s="210"/>
      <c r="B68" s="210" t="s">
        <v>244</v>
      </c>
      <c r="C68" s="210">
        <v>0</v>
      </c>
      <c r="D68" s="210">
        <v>1.2</v>
      </c>
      <c r="E68" s="211">
        <f t="shared" si="8"/>
        <v>0</v>
      </c>
      <c r="F68" s="210">
        <v>514</v>
      </c>
      <c r="G68" s="210">
        <f t="shared" si="9"/>
        <v>0</v>
      </c>
    </row>
    <row r="69" spans="1:7" ht="12.75">
      <c r="A69" s="210"/>
      <c r="B69" s="210" t="s">
        <v>245</v>
      </c>
      <c r="C69" s="210">
        <v>11</v>
      </c>
      <c r="D69" s="210">
        <v>1.2</v>
      </c>
      <c r="E69" s="211">
        <f t="shared" si="8"/>
        <v>13</v>
      </c>
      <c r="F69" s="210">
        <v>80</v>
      </c>
      <c r="G69" s="210">
        <f t="shared" si="9"/>
        <v>1040</v>
      </c>
    </row>
    <row r="70" spans="1:7" ht="13.5" thickBot="1">
      <c r="A70" s="210"/>
      <c r="B70" s="10" t="s">
        <v>246</v>
      </c>
      <c r="C70" s="210">
        <v>10</v>
      </c>
      <c r="D70" s="210">
        <v>1.2</v>
      </c>
      <c r="E70" s="211">
        <f t="shared" si="8"/>
        <v>12</v>
      </c>
      <c r="F70" s="10">
        <v>0</v>
      </c>
      <c r="G70" s="10">
        <f t="shared" si="9"/>
        <v>0</v>
      </c>
    </row>
    <row r="71" spans="1:7" ht="14.25" thickBot="1" thickTop="1">
      <c r="A71" s="10"/>
      <c r="B71" s="10" t="s">
        <v>252</v>
      </c>
      <c r="C71" s="216">
        <f>SUM(C61:C70)</f>
        <v>1021</v>
      </c>
      <c r="D71" s="216" t="s">
        <v>5</v>
      </c>
      <c r="E71" s="217">
        <f>SUM(E61:E70)</f>
        <v>1224</v>
      </c>
      <c r="F71" s="10" t="s">
        <v>5</v>
      </c>
      <c r="G71" s="10">
        <f>SUM(G61:G70)</f>
        <v>7730.5</v>
      </c>
    </row>
    <row r="72" spans="1:7" ht="15.75" thickTop="1">
      <c r="A72" s="210" t="s">
        <v>269</v>
      </c>
      <c r="B72" s="220" t="s">
        <v>238</v>
      </c>
      <c r="C72" s="220">
        <v>2</v>
      </c>
      <c r="D72" s="220">
        <v>1.2</v>
      </c>
      <c r="E72" s="221">
        <f aca="true" t="shared" si="10" ref="E72:E81">+ROUND(C72*D72,0)</f>
        <v>2</v>
      </c>
      <c r="F72" s="220">
        <v>104</v>
      </c>
      <c r="G72" s="220">
        <f>E72*F72</f>
        <v>208</v>
      </c>
    </row>
    <row r="73" spans="1:7" ht="12.75">
      <c r="A73" s="222"/>
      <c r="B73" s="210" t="s">
        <v>239</v>
      </c>
      <c r="C73" s="210">
        <v>185</v>
      </c>
      <c r="D73" s="210">
        <v>1.2</v>
      </c>
      <c r="E73" s="211">
        <f t="shared" si="10"/>
        <v>222</v>
      </c>
      <c r="F73" s="210">
        <v>19</v>
      </c>
      <c r="G73" s="210">
        <f>E73*F73*0.3</f>
        <v>1265.3999999999999</v>
      </c>
    </row>
    <row r="74" spans="1:7" ht="12.75">
      <c r="A74" s="210"/>
      <c r="B74" s="210" t="s">
        <v>240</v>
      </c>
      <c r="C74" s="210">
        <v>566</v>
      </c>
      <c r="D74" s="210">
        <v>1.2</v>
      </c>
      <c r="E74" s="211">
        <f t="shared" si="10"/>
        <v>679</v>
      </c>
      <c r="F74" s="210">
        <v>1.5</v>
      </c>
      <c r="G74" s="210">
        <f>E74*F74</f>
        <v>1018.5</v>
      </c>
    </row>
    <row r="75" spans="1:7" ht="12.75">
      <c r="A75" s="210"/>
      <c r="B75" s="215" t="s">
        <v>241</v>
      </c>
      <c r="C75" s="210">
        <v>5</v>
      </c>
      <c r="D75" s="210">
        <v>1.2</v>
      </c>
      <c r="E75" s="211">
        <f t="shared" si="10"/>
        <v>6</v>
      </c>
      <c r="F75" s="210">
        <v>23</v>
      </c>
      <c r="G75" s="210">
        <f>E75*F75*0.3</f>
        <v>41.4</v>
      </c>
    </row>
    <row r="76" spans="1:7" ht="12.75">
      <c r="A76" s="210"/>
      <c r="B76" s="210" t="s">
        <v>242</v>
      </c>
      <c r="C76" s="210">
        <v>0</v>
      </c>
      <c r="D76" s="210">
        <v>1.2</v>
      </c>
      <c r="E76" s="211">
        <f t="shared" si="10"/>
        <v>0</v>
      </c>
      <c r="F76" s="210">
        <v>80</v>
      </c>
      <c r="G76" s="210">
        <f aca="true" t="shared" si="11" ref="G76:G81">E76*F76</f>
        <v>0</v>
      </c>
    </row>
    <row r="77" spans="1:7" ht="12.75">
      <c r="A77" s="210"/>
      <c r="B77" s="210" t="s">
        <v>243</v>
      </c>
      <c r="C77" s="210">
        <v>0</v>
      </c>
      <c r="D77" s="210">
        <v>1.2</v>
      </c>
      <c r="E77" s="211">
        <f t="shared" si="10"/>
        <v>0</v>
      </c>
      <c r="F77" s="210">
        <v>3</v>
      </c>
      <c r="G77" s="210">
        <f t="shared" si="11"/>
        <v>0</v>
      </c>
    </row>
    <row r="78" spans="1:7" ht="12.75">
      <c r="A78" s="210"/>
      <c r="B78" s="210" t="s">
        <v>237</v>
      </c>
      <c r="C78" s="210">
        <v>0</v>
      </c>
      <c r="D78" s="210">
        <v>1.2</v>
      </c>
      <c r="E78" s="211">
        <f t="shared" si="10"/>
        <v>0</v>
      </c>
      <c r="F78" s="210">
        <v>19</v>
      </c>
      <c r="G78" s="210">
        <f t="shared" si="11"/>
        <v>0</v>
      </c>
    </row>
    <row r="79" spans="1:7" ht="12.75">
      <c r="A79" s="210"/>
      <c r="B79" s="210" t="s">
        <v>244</v>
      </c>
      <c r="C79" s="210">
        <v>0</v>
      </c>
      <c r="D79" s="210">
        <v>1.2</v>
      </c>
      <c r="E79" s="211">
        <f t="shared" si="10"/>
        <v>0</v>
      </c>
      <c r="F79" s="210">
        <v>514</v>
      </c>
      <c r="G79" s="210">
        <f t="shared" si="11"/>
        <v>0</v>
      </c>
    </row>
    <row r="80" spans="1:7" ht="12.75">
      <c r="A80" s="210"/>
      <c r="B80" s="210" t="s">
        <v>245</v>
      </c>
      <c r="C80" s="210">
        <v>5</v>
      </c>
      <c r="D80" s="210">
        <v>1.2</v>
      </c>
      <c r="E80" s="211">
        <f t="shared" si="10"/>
        <v>6</v>
      </c>
      <c r="F80" s="210">
        <v>80</v>
      </c>
      <c r="G80" s="210">
        <f t="shared" si="11"/>
        <v>480</v>
      </c>
    </row>
    <row r="81" spans="1:7" ht="13.5" thickBot="1">
      <c r="A81" s="210"/>
      <c r="B81" s="10" t="s">
        <v>246</v>
      </c>
      <c r="C81" s="10">
        <v>2</v>
      </c>
      <c r="D81" s="210">
        <v>1.2</v>
      </c>
      <c r="E81" s="211">
        <f t="shared" si="10"/>
        <v>2</v>
      </c>
      <c r="F81" s="210">
        <v>0</v>
      </c>
      <c r="G81" s="210">
        <f t="shared" si="11"/>
        <v>0</v>
      </c>
    </row>
    <row r="82" spans="1:7" ht="14.25" thickBot="1" thickTop="1">
      <c r="A82" s="210"/>
      <c r="B82" s="10" t="s">
        <v>253</v>
      </c>
      <c r="C82" s="10">
        <f>SUM(C72:C81)</f>
        <v>765</v>
      </c>
      <c r="D82" s="216" t="s">
        <v>5</v>
      </c>
      <c r="E82" s="217">
        <f>SUM(E72:E81)</f>
        <v>917</v>
      </c>
      <c r="F82" s="216" t="s">
        <v>5</v>
      </c>
      <c r="G82" s="216">
        <f>SUM(G72:G81)</f>
        <v>3013.2999999999997</v>
      </c>
    </row>
    <row r="83" spans="1:7" ht="13.5" thickTop="1">
      <c r="A83" s="220" t="s">
        <v>254</v>
      </c>
      <c r="B83" s="220" t="s">
        <v>238</v>
      </c>
      <c r="C83" s="220">
        <v>0</v>
      </c>
      <c r="D83" s="220">
        <v>1.2</v>
      </c>
      <c r="E83" s="221">
        <f aca="true" t="shared" si="12" ref="E83:E92">+ROUND(C83*D83,0)</f>
        <v>0</v>
      </c>
      <c r="F83" s="220">
        <v>104</v>
      </c>
      <c r="G83" s="220">
        <f>E83*F83</f>
        <v>0</v>
      </c>
    </row>
    <row r="84" spans="1:7" ht="12.75">
      <c r="A84" s="210"/>
      <c r="B84" s="210" t="s">
        <v>239</v>
      </c>
      <c r="C84" s="210">
        <v>0</v>
      </c>
      <c r="D84" s="210">
        <v>1.2</v>
      </c>
      <c r="E84" s="211">
        <f t="shared" si="12"/>
        <v>0</v>
      </c>
      <c r="F84" s="210">
        <v>19</v>
      </c>
      <c r="G84" s="210">
        <f>E84*F84*0.3</f>
        <v>0</v>
      </c>
    </row>
    <row r="85" spans="1:7" ht="12.75">
      <c r="A85" s="210"/>
      <c r="B85" s="210" t="s">
        <v>240</v>
      </c>
      <c r="C85" s="210">
        <v>180</v>
      </c>
      <c r="D85" s="210">
        <v>1.2</v>
      </c>
      <c r="E85" s="211">
        <f t="shared" si="12"/>
        <v>216</v>
      </c>
      <c r="F85" s="210">
        <v>1.5</v>
      </c>
      <c r="G85" s="210">
        <f>E85*F85</f>
        <v>324</v>
      </c>
    </row>
    <row r="86" spans="1:7" ht="12.75">
      <c r="A86" s="210"/>
      <c r="B86" s="215" t="s">
        <v>241</v>
      </c>
      <c r="C86" s="210">
        <v>120</v>
      </c>
      <c r="D86" s="210">
        <v>1.2</v>
      </c>
      <c r="E86" s="211">
        <f t="shared" si="12"/>
        <v>144</v>
      </c>
      <c r="F86" s="210">
        <v>23</v>
      </c>
      <c r="G86" s="210">
        <f>E86*F86*0.3</f>
        <v>993.5999999999999</v>
      </c>
    </row>
    <row r="87" spans="1:7" ht="12.75">
      <c r="A87" s="210"/>
      <c r="B87" s="210" t="s">
        <v>242</v>
      </c>
      <c r="C87" s="210">
        <v>0</v>
      </c>
      <c r="D87" s="210">
        <v>1.2</v>
      </c>
      <c r="E87" s="211">
        <f t="shared" si="12"/>
        <v>0</v>
      </c>
      <c r="F87" s="210">
        <v>80</v>
      </c>
      <c r="G87" s="210">
        <f aca="true" t="shared" si="13" ref="G87:G92">E87*F87</f>
        <v>0</v>
      </c>
    </row>
    <row r="88" spans="1:7" ht="12.75">
      <c r="A88" s="210"/>
      <c r="B88" s="210" t="s">
        <v>243</v>
      </c>
      <c r="C88" s="210">
        <v>0</v>
      </c>
      <c r="D88" s="210">
        <v>1.2</v>
      </c>
      <c r="E88" s="211">
        <f t="shared" si="12"/>
        <v>0</v>
      </c>
      <c r="F88" s="210">
        <v>3</v>
      </c>
      <c r="G88" s="210">
        <f t="shared" si="13"/>
        <v>0</v>
      </c>
    </row>
    <row r="89" spans="1:7" ht="12.75">
      <c r="A89" s="210"/>
      <c r="B89" s="210" t="s">
        <v>237</v>
      </c>
      <c r="C89" s="210">
        <v>0</v>
      </c>
      <c r="D89" s="210">
        <v>1.2</v>
      </c>
      <c r="E89" s="211">
        <f t="shared" si="12"/>
        <v>0</v>
      </c>
      <c r="F89" s="210">
        <v>19</v>
      </c>
      <c r="G89" s="210">
        <f t="shared" si="13"/>
        <v>0</v>
      </c>
    </row>
    <row r="90" spans="1:7" ht="12.75">
      <c r="A90" s="210"/>
      <c r="B90" s="210" t="s">
        <v>244</v>
      </c>
      <c r="C90" s="210">
        <v>0</v>
      </c>
      <c r="D90" s="210">
        <v>1.2</v>
      </c>
      <c r="E90" s="211">
        <f t="shared" si="12"/>
        <v>0</v>
      </c>
      <c r="F90" s="210">
        <v>514</v>
      </c>
      <c r="G90" s="210">
        <f t="shared" si="13"/>
        <v>0</v>
      </c>
    </row>
    <row r="91" spans="1:7" ht="12.75">
      <c r="A91" s="210"/>
      <c r="B91" s="210" t="s">
        <v>245</v>
      </c>
      <c r="C91" s="210">
        <v>1</v>
      </c>
      <c r="D91" s="210">
        <v>1.2</v>
      </c>
      <c r="E91" s="211">
        <f t="shared" si="12"/>
        <v>1</v>
      </c>
      <c r="F91" s="210">
        <v>80</v>
      </c>
      <c r="G91" s="210">
        <f t="shared" si="13"/>
        <v>80</v>
      </c>
    </row>
    <row r="92" spans="1:7" ht="13.5" thickBot="1">
      <c r="A92" s="210"/>
      <c r="B92" s="10" t="s">
        <v>246</v>
      </c>
      <c r="C92" s="10">
        <v>0</v>
      </c>
      <c r="D92" s="210">
        <v>1.2</v>
      </c>
      <c r="E92" s="211">
        <f t="shared" si="12"/>
        <v>0</v>
      </c>
      <c r="F92" s="210">
        <v>0</v>
      </c>
      <c r="G92" s="210">
        <f t="shared" si="13"/>
        <v>0</v>
      </c>
    </row>
    <row r="93" spans="1:7" ht="14.25" thickBot="1" thickTop="1">
      <c r="A93" s="210"/>
      <c r="B93" s="10" t="s">
        <v>253</v>
      </c>
      <c r="C93" s="10">
        <f>SUM(C83:C92)</f>
        <v>301</v>
      </c>
      <c r="D93" s="216" t="s">
        <v>5</v>
      </c>
      <c r="E93" s="217">
        <f>SUM(E83:E92)</f>
        <v>361</v>
      </c>
      <c r="F93" s="216" t="s">
        <v>5</v>
      </c>
      <c r="G93" s="216">
        <f>SUM(G83:G92)</f>
        <v>1397.6</v>
      </c>
    </row>
    <row r="94" spans="1:7" ht="13.5" thickTop="1">
      <c r="A94" s="220" t="s">
        <v>255</v>
      </c>
      <c r="B94" s="220" t="s">
        <v>238</v>
      </c>
      <c r="C94" s="220">
        <v>4</v>
      </c>
      <c r="D94" s="220">
        <v>1.2</v>
      </c>
      <c r="E94" s="221">
        <f aca="true" t="shared" si="14" ref="E94:E103">+ROUND(C94*D94,0)</f>
        <v>5</v>
      </c>
      <c r="F94" s="220">
        <v>104</v>
      </c>
      <c r="G94" s="220">
        <f>E94*F94</f>
        <v>520</v>
      </c>
    </row>
    <row r="95" spans="1:7" ht="12.75">
      <c r="A95" s="210"/>
      <c r="B95" s="210" t="s">
        <v>239</v>
      </c>
      <c r="C95" s="210">
        <v>133</v>
      </c>
      <c r="D95" s="210">
        <v>1.2</v>
      </c>
      <c r="E95" s="211">
        <f t="shared" si="14"/>
        <v>160</v>
      </c>
      <c r="F95" s="210">
        <v>19</v>
      </c>
      <c r="G95" s="210">
        <f>E95*F95*0.3</f>
        <v>912</v>
      </c>
    </row>
    <row r="96" spans="1:7" ht="12.75">
      <c r="A96" s="210"/>
      <c r="B96" s="210" t="s">
        <v>240</v>
      </c>
      <c r="C96" s="210">
        <v>330</v>
      </c>
      <c r="D96" s="210">
        <v>1.2</v>
      </c>
      <c r="E96" s="211">
        <f t="shared" si="14"/>
        <v>396</v>
      </c>
      <c r="F96" s="210">
        <v>1.5</v>
      </c>
      <c r="G96" s="210">
        <f>E96*F96</f>
        <v>594</v>
      </c>
    </row>
    <row r="97" spans="1:7" ht="12.75">
      <c r="A97" s="210"/>
      <c r="B97" s="215" t="s">
        <v>241</v>
      </c>
      <c r="C97" s="210">
        <v>47</v>
      </c>
      <c r="D97" s="210">
        <v>1.2</v>
      </c>
      <c r="E97" s="211">
        <f t="shared" si="14"/>
        <v>56</v>
      </c>
      <c r="F97" s="210">
        <v>23</v>
      </c>
      <c r="G97" s="210">
        <f>E97*F97*0.3</f>
        <v>386.4</v>
      </c>
    </row>
    <row r="98" spans="1:7" ht="12.75">
      <c r="A98" s="210"/>
      <c r="B98" s="210" t="s">
        <v>242</v>
      </c>
      <c r="C98" s="210">
        <v>0</v>
      </c>
      <c r="D98" s="210">
        <v>1.2</v>
      </c>
      <c r="E98" s="211">
        <f t="shared" si="14"/>
        <v>0</v>
      </c>
      <c r="F98" s="210">
        <v>80</v>
      </c>
      <c r="G98" s="210">
        <f aca="true" t="shared" si="15" ref="G98:G103">E98*F98</f>
        <v>0</v>
      </c>
    </row>
    <row r="99" spans="1:7" ht="12.75">
      <c r="A99" s="210"/>
      <c r="B99" s="210" t="s">
        <v>243</v>
      </c>
      <c r="C99" s="210">
        <v>0</v>
      </c>
      <c r="D99" s="210">
        <v>1.2</v>
      </c>
      <c r="E99" s="211">
        <f t="shared" si="14"/>
        <v>0</v>
      </c>
      <c r="F99" s="210">
        <v>3</v>
      </c>
      <c r="G99" s="210">
        <f t="shared" si="15"/>
        <v>0</v>
      </c>
    </row>
    <row r="100" spans="1:7" ht="12.75">
      <c r="A100" s="210"/>
      <c r="B100" s="210" t="s">
        <v>237</v>
      </c>
      <c r="C100" s="210">
        <v>10</v>
      </c>
      <c r="D100" s="210">
        <v>1.2</v>
      </c>
      <c r="E100" s="211">
        <f t="shared" si="14"/>
        <v>12</v>
      </c>
      <c r="F100" s="210">
        <v>19</v>
      </c>
      <c r="G100" s="210">
        <f t="shared" si="15"/>
        <v>228</v>
      </c>
    </row>
    <row r="101" spans="1:7" ht="12.75">
      <c r="A101" s="210"/>
      <c r="B101" s="210" t="s">
        <v>244</v>
      </c>
      <c r="C101" s="210">
        <v>0</v>
      </c>
      <c r="D101" s="210">
        <v>1.2</v>
      </c>
      <c r="E101" s="211">
        <f t="shared" si="14"/>
        <v>0</v>
      </c>
      <c r="F101" s="210">
        <v>514</v>
      </c>
      <c r="G101" s="210">
        <f t="shared" si="15"/>
        <v>0</v>
      </c>
    </row>
    <row r="102" spans="1:7" ht="12.75">
      <c r="A102" s="210"/>
      <c r="B102" s="210" t="s">
        <v>245</v>
      </c>
      <c r="C102" s="210">
        <v>1</v>
      </c>
      <c r="D102" s="210">
        <v>1.2</v>
      </c>
      <c r="E102" s="211">
        <f t="shared" si="14"/>
        <v>1</v>
      </c>
      <c r="F102" s="210">
        <v>80</v>
      </c>
      <c r="G102" s="210">
        <f t="shared" si="15"/>
        <v>80</v>
      </c>
    </row>
    <row r="103" spans="1:7" ht="13.5" thickBot="1">
      <c r="A103" s="210"/>
      <c r="B103" s="10" t="s">
        <v>246</v>
      </c>
      <c r="C103" s="10">
        <v>0</v>
      </c>
      <c r="D103" s="210">
        <v>1.2</v>
      </c>
      <c r="E103" s="211">
        <f t="shared" si="14"/>
        <v>0</v>
      </c>
      <c r="F103" s="210">
        <v>0</v>
      </c>
      <c r="G103" s="210">
        <f t="shared" si="15"/>
        <v>0</v>
      </c>
    </row>
    <row r="104" spans="1:7" ht="14.25" thickBot="1" thickTop="1">
      <c r="A104" s="210"/>
      <c r="B104" s="10" t="s">
        <v>253</v>
      </c>
      <c r="C104" s="10">
        <f>SUM(C94:C103)</f>
        <v>525</v>
      </c>
      <c r="D104" s="216" t="s">
        <v>5</v>
      </c>
      <c r="E104" s="217">
        <f>SUM(E94:E103)</f>
        <v>630</v>
      </c>
      <c r="F104" s="216" t="s">
        <v>5</v>
      </c>
      <c r="G104" s="216">
        <f>SUM(G94:G103)</f>
        <v>2720.4</v>
      </c>
    </row>
    <row r="105" spans="1:7" ht="13.5" thickTop="1">
      <c r="A105" s="220" t="s">
        <v>256</v>
      </c>
      <c r="B105" s="220" t="s">
        <v>238</v>
      </c>
      <c r="C105" s="220">
        <v>2</v>
      </c>
      <c r="D105" s="220">
        <v>1.2</v>
      </c>
      <c r="E105" s="221">
        <f aca="true" t="shared" si="16" ref="E105:E114">+ROUND(C105*D105,0)</f>
        <v>2</v>
      </c>
      <c r="F105" s="220">
        <v>104</v>
      </c>
      <c r="G105" s="220">
        <f>E105*F105</f>
        <v>208</v>
      </c>
    </row>
    <row r="106" spans="1:7" ht="12.75">
      <c r="A106" s="210"/>
      <c r="B106" s="210" t="s">
        <v>239</v>
      </c>
      <c r="C106" s="210">
        <v>80</v>
      </c>
      <c r="D106" s="210">
        <v>1.2</v>
      </c>
      <c r="E106" s="211">
        <f t="shared" si="16"/>
        <v>96</v>
      </c>
      <c r="F106" s="210">
        <v>19</v>
      </c>
      <c r="G106" s="210">
        <f>E106*F106*0.3</f>
        <v>547.1999999999999</v>
      </c>
    </row>
    <row r="107" spans="1:7" ht="12.75">
      <c r="A107" s="210"/>
      <c r="B107" s="210" t="s">
        <v>240</v>
      </c>
      <c r="C107" s="210">
        <v>230</v>
      </c>
      <c r="D107" s="210">
        <v>1.2</v>
      </c>
      <c r="E107" s="211">
        <f t="shared" si="16"/>
        <v>276</v>
      </c>
      <c r="F107" s="210">
        <v>1.5</v>
      </c>
      <c r="G107" s="210">
        <f>E107*F107</f>
        <v>414</v>
      </c>
    </row>
    <row r="108" spans="1:7" ht="12.75">
      <c r="A108" s="210"/>
      <c r="B108" s="215" t="s">
        <v>241</v>
      </c>
      <c r="C108" s="210">
        <v>50</v>
      </c>
      <c r="D108" s="210">
        <v>1.2</v>
      </c>
      <c r="E108" s="211">
        <f t="shared" si="16"/>
        <v>60</v>
      </c>
      <c r="F108" s="210">
        <v>23</v>
      </c>
      <c r="G108" s="210">
        <f>E108*F108*0.3</f>
        <v>414</v>
      </c>
    </row>
    <row r="109" spans="1:7" ht="12.75">
      <c r="A109" s="210"/>
      <c r="B109" s="210" t="s">
        <v>242</v>
      </c>
      <c r="C109" s="210">
        <v>0</v>
      </c>
      <c r="D109" s="210">
        <v>1.2</v>
      </c>
      <c r="E109" s="211">
        <f t="shared" si="16"/>
        <v>0</v>
      </c>
      <c r="F109" s="210">
        <v>80</v>
      </c>
      <c r="G109" s="210">
        <f aca="true" t="shared" si="17" ref="G109:G114">E109*F109</f>
        <v>0</v>
      </c>
    </row>
    <row r="110" spans="1:7" ht="12.75">
      <c r="A110" s="210"/>
      <c r="B110" s="210" t="s">
        <v>243</v>
      </c>
      <c r="C110" s="210">
        <v>0</v>
      </c>
      <c r="D110" s="210">
        <v>1.2</v>
      </c>
      <c r="E110" s="211">
        <f t="shared" si="16"/>
        <v>0</v>
      </c>
      <c r="F110" s="210">
        <v>3</v>
      </c>
      <c r="G110" s="210">
        <f t="shared" si="17"/>
        <v>0</v>
      </c>
    </row>
    <row r="111" spans="1:7" ht="12.75">
      <c r="A111" s="210"/>
      <c r="B111" s="210" t="s">
        <v>237</v>
      </c>
      <c r="C111" s="210">
        <v>0</v>
      </c>
      <c r="D111" s="210">
        <v>1.2</v>
      </c>
      <c r="E111" s="211">
        <f t="shared" si="16"/>
        <v>0</v>
      </c>
      <c r="F111" s="210">
        <v>19</v>
      </c>
      <c r="G111" s="210">
        <f t="shared" si="17"/>
        <v>0</v>
      </c>
    </row>
    <row r="112" spans="1:7" ht="12.75">
      <c r="A112" s="210"/>
      <c r="B112" s="210" t="s">
        <v>244</v>
      </c>
      <c r="C112" s="210">
        <v>0</v>
      </c>
      <c r="D112" s="210">
        <v>1.2</v>
      </c>
      <c r="E112" s="211">
        <f t="shared" si="16"/>
        <v>0</v>
      </c>
      <c r="F112" s="210">
        <v>514</v>
      </c>
      <c r="G112" s="210">
        <f t="shared" si="17"/>
        <v>0</v>
      </c>
    </row>
    <row r="113" spans="1:7" ht="12.75">
      <c r="A113" s="210"/>
      <c r="B113" s="210" t="s">
        <v>245</v>
      </c>
      <c r="C113" s="210">
        <v>2</v>
      </c>
      <c r="D113" s="210">
        <v>1.2</v>
      </c>
      <c r="E113" s="211">
        <f t="shared" si="16"/>
        <v>2</v>
      </c>
      <c r="F113" s="210">
        <v>80</v>
      </c>
      <c r="G113" s="210">
        <f t="shared" si="17"/>
        <v>160</v>
      </c>
    </row>
    <row r="114" spans="1:7" ht="13.5" thickBot="1">
      <c r="A114" s="210"/>
      <c r="B114" s="10" t="s">
        <v>246</v>
      </c>
      <c r="C114" s="10">
        <v>2</v>
      </c>
      <c r="D114" s="210">
        <v>1.2</v>
      </c>
      <c r="E114" s="211">
        <f t="shared" si="16"/>
        <v>2</v>
      </c>
      <c r="F114" s="210">
        <v>0</v>
      </c>
      <c r="G114" s="210">
        <f t="shared" si="17"/>
        <v>0</v>
      </c>
    </row>
    <row r="115" spans="1:7" ht="14.25" thickBot="1" thickTop="1">
      <c r="A115" s="10"/>
      <c r="B115" s="10" t="s">
        <v>253</v>
      </c>
      <c r="C115" s="10">
        <f>SUM(C105:C114)</f>
        <v>366</v>
      </c>
      <c r="D115" s="216" t="s">
        <v>5</v>
      </c>
      <c r="E115" s="217">
        <f>SUM(E105:E114)</f>
        <v>438</v>
      </c>
      <c r="F115" s="216" t="s">
        <v>5</v>
      </c>
      <c r="G115" s="216">
        <f>SUM(G105:G114)</f>
        <v>1743.1999999999998</v>
      </c>
    </row>
    <row r="116" spans="1:7" ht="13.5" thickTop="1">
      <c r="A116" s="20"/>
      <c r="B116" s="20"/>
      <c r="C116" s="20"/>
      <c r="D116" s="11"/>
      <c r="E116" s="248"/>
      <c r="F116" s="11"/>
      <c r="G116" s="11"/>
    </row>
    <row r="117" spans="1:7" ht="12.75">
      <c r="A117" s="350" t="s">
        <v>343</v>
      </c>
      <c r="B117" s="330"/>
      <c r="C117" s="330"/>
      <c r="D117" s="330"/>
      <c r="E117" s="330"/>
      <c r="F117" s="330"/>
      <c r="G117" s="330"/>
    </row>
    <row r="118" spans="1:7" ht="12.75">
      <c r="A118" s="26"/>
      <c r="B118" s="148"/>
      <c r="C118" s="148"/>
      <c r="D118" s="148"/>
      <c r="E118" s="148"/>
      <c r="F118" s="148"/>
      <c r="G118" s="148"/>
    </row>
    <row r="119" spans="1:7" ht="12.75">
      <c r="A119" s="26"/>
      <c r="B119" s="148"/>
      <c r="C119" s="148"/>
      <c r="D119" s="148"/>
      <c r="E119" s="148"/>
      <c r="F119" s="148"/>
      <c r="G119" s="148"/>
    </row>
    <row r="120" spans="1:7" ht="13.5" thickBot="1">
      <c r="A120" s="228"/>
      <c r="B120" s="228"/>
      <c r="C120" s="228"/>
      <c r="D120" s="228"/>
      <c r="E120" s="247"/>
      <c r="F120" s="228"/>
      <c r="G120" s="228"/>
    </row>
    <row r="121" spans="1:7" ht="13.5" thickTop="1">
      <c r="A121" s="220" t="s">
        <v>257</v>
      </c>
      <c r="B121" s="220" t="s">
        <v>238</v>
      </c>
      <c r="C121" s="220">
        <v>0</v>
      </c>
      <c r="D121" s="220">
        <v>1.2</v>
      </c>
      <c r="E121" s="221">
        <f aca="true" t="shared" si="18" ref="E121:E130">+ROUND(C121*D121,0)</f>
        <v>0</v>
      </c>
      <c r="F121" s="220">
        <v>104</v>
      </c>
      <c r="G121" s="220">
        <f>E121*F121</f>
        <v>0</v>
      </c>
    </row>
    <row r="122" spans="1:7" ht="12.75">
      <c r="A122" s="210"/>
      <c r="B122" s="210" t="s">
        <v>239</v>
      </c>
      <c r="C122" s="210">
        <v>0</v>
      </c>
      <c r="D122" s="210">
        <v>1.2</v>
      </c>
      <c r="E122" s="211">
        <f t="shared" si="18"/>
        <v>0</v>
      </c>
      <c r="F122" s="210">
        <v>19</v>
      </c>
      <c r="G122" s="210">
        <f>E122*F122*0.3</f>
        <v>0</v>
      </c>
    </row>
    <row r="123" spans="1:7" ht="12.75">
      <c r="A123" s="210"/>
      <c r="B123" s="210" t="s">
        <v>240</v>
      </c>
      <c r="C123" s="210">
        <v>450</v>
      </c>
      <c r="D123" s="210">
        <v>1.2</v>
      </c>
      <c r="E123" s="211">
        <f t="shared" si="18"/>
        <v>540</v>
      </c>
      <c r="F123" s="210">
        <v>1.5</v>
      </c>
      <c r="G123" s="210">
        <f>E123*F123</f>
        <v>810</v>
      </c>
    </row>
    <row r="124" spans="1:7" ht="12.75">
      <c r="A124" s="210"/>
      <c r="B124" s="215" t="s">
        <v>241</v>
      </c>
      <c r="C124" s="210">
        <v>81</v>
      </c>
      <c r="D124" s="210">
        <v>1.2</v>
      </c>
      <c r="E124" s="211">
        <f t="shared" si="18"/>
        <v>97</v>
      </c>
      <c r="F124" s="210">
        <v>23</v>
      </c>
      <c r="G124" s="210">
        <f>E124*F124*0.3</f>
        <v>669.3</v>
      </c>
    </row>
    <row r="125" spans="1:7" ht="12.75">
      <c r="A125" s="210"/>
      <c r="B125" s="210" t="s">
        <v>242</v>
      </c>
      <c r="C125" s="210">
        <v>3</v>
      </c>
      <c r="D125" s="210">
        <v>1.2</v>
      </c>
      <c r="E125" s="211">
        <f t="shared" si="18"/>
        <v>4</v>
      </c>
      <c r="F125" s="210">
        <v>80</v>
      </c>
      <c r="G125" s="210">
        <f aca="true" t="shared" si="19" ref="G125:G130">E125*F125</f>
        <v>320</v>
      </c>
    </row>
    <row r="126" spans="1:7" ht="12.75">
      <c r="A126" s="210"/>
      <c r="B126" s="210" t="s">
        <v>243</v>
      </c>
      <c r="C126" s="210">
        <v>180</v>
      </c>
      <c r="D126" s="210">
        <v>1.2</v>
      </c>
      <c r="E126" s="211">
        <f t="shared" si="18"/>
        <v>216</v>
      </c>
      <c r="F126" s="210">
        <v>3</v>
      </c>
      <c r="G126" s="210">
        <f t="shared" si="19"/>
        <v>648</v>
      </c>
    </row>
    <row r="127" spans="1:7" ht="12.75">
      <c r="A127" s="210"/>
      <c r="B127" s="210" t="s">
        <v>237</v>
      </c>
      <c r="C127" s="210">
        <v>9</v>
      </c>
      <c r="D127" s="210">
        <v>1.2</v>
      </c>
      <c r="E127" s="211">
        <f t="shared" si="18"/>
        <v>11</v>
      </c>
      <c r="F127" s="210">
        <v>19</v>
      </c>
      <c r="G127" s="210">
        <f t="shared" si="19"/>
        <v>209</v>
      </c>
    </row>
    <row r="128" spans="1:7" ht="12.75">
      <c r="A128" s="210"/>
      <c r="B128" s="210" t="s">
        <v>244</v>
      </c>
      <c r="C128" s="210">
        <v>0</v>
      </c>
      <c r="D128" s="210">
        <v>1.2</v>
      </c>
      <c r="E128" s="211">
        <f t="shared" si="18"/>
        <v>0</v>
      </c>
      <c r="F128" s="210">
        <v>514</v>
      </c>
      <c r="G128" s="210">
        <f t="shared" si="19"/>
        <v>0</v>
      </c>
    </row>
    <row r="129" spans="1:7" ht="12.75">
      <c r="A129" s="210"/>
      <c r="B129" s="210" t="s">
        <v>245</v>
      </c>
      <c r="C129" s="210">
        <v>3</v>
      </c>
      <c r="D129" s="210">
        <v>1.2</v>
      </c>
      <c r="E129" s="211">
        <f t="shared" si="18"/>
        <v>4</v>
      </c>
      <c r="F129" s="210">
        <v>80</v>
      </c>
      <c r="G129" s="210">
        <f t="shared" si="19"/>
        <v>320</v>
      </c>
    </row>
    <row r="130" spans="1:7" ht="13.5" thickBot="1">
      <c r="A130" s="210"/>
      <c r="B130" s="10" t="s">
        <v>246</v>
      </c>
      <c r="C130" s="10">
        <v>0</v>
      </c>
      <c r="D130" s="210">
        <v>1.2</v>
      </c>
      <c r="E130" s="211">
        <f t="shared" si="18"/>
        <v>0</v>
      </c>
      <c r="F130" s="210">
        <v>0</v>
      </c>
      <c r="G130" s="210">
        <f t="shared" si="19"/>
        <v>0</v>
      </c>
    </row>
    <row r="131" spans="1:7" ht="14.25" thickBot="1" thickTop="1">
      <c r="A131" s="10"/>
      <c r="B131" s="10" t="s">
        <v>253</v>
      </c>
      <c r="C131" s="10">
        <f>SUM(C121:C130)</f>
        <v>726</v>
      </c>
      <c r="D131" s="216" t="s">
        <v>5</v>
      </c>
      <c r="E131" s="217">
        <f>SUM(E121:E130)</f>
        <v>872</v>
      </c>
      <c r="F131" s="216" t="s">
        <v>5</v>
      </c>
      <c r="G131" s="216">
        <f>SUM(G121:G130)</f>
        <v>2976.3</v>
      </c>
    </row>
    <row r="132" spans="1:7" ht="13.5" thickTop="1">
      <c r="A132" s="220" t="s">
        <v>258</v>
      </c>
      <c r="B132" s="220" t="s">
        <v>238</v>
      </c>
      <c r="C132" s="220">
        <v>1</v>
      </c>
      <c r="D132" s="220">
        <v>1.2</v>
      </c>
      <c r="E132" s="221">
        <f aca="true" t="shared" si="20" ref="E132:E141">+ROUND(C132*D132,0)</f>
        <v>1</v>
      </c>
      <c r="F132" s="220">
        <v>104</v>
      </c>
      <c r="G132" s="220">
        <f>E132*F132</f>
        <v>104</v>
      </c>
    </row>
    <row r="133" spans="1:7" ht="12.75">
      <c r="A133" s="210"/>
      <c r="B133" s="210" t="s">
        <v>239</v>
      </c>
      <c r="C133" s="210">
        <v>50</v>
      </c>
      <c r="D133" s="210">
        <v>1.2</v>
      </c>
      <c r="E133" s="211">
        <f t="shared" si="20"/>
        <v>60</v>
      </c>
      <c r="F133" s="210">
        <v>19</v>
      </c>
      <c r="G133" s="210">
        <f>E133*F133*0.3</f>
        <v>342</v>
      </c>
    </row>
    <row r="134" spans="1:7" ht="12.75">
      <c r="A134" s="210"/>
      <c r="B134" s="210" t="s">
        <v>240</v>
      </c>
      <c r="C134" s="210">
        <v>190</v>
      </c>
      <c r="D134" s="210">
        <v>1.2</v>
      </c>
      <c r="E134" s="211">
        <f t="shared" si="20"/>
        <v>228</v>
      </c>
      <c r="F134" s="210">
        <v>1.5</v>
      </c>
      <c r="G134" s="210">
        <f>E134*F134</f>
        <v>342</v>
      </c>
    </row>
    <row r="135" spans="1:7" ht="12.75">
      <c r="A135" s="210"/>
      <c r="B135" s="215" t="s">
        <v>241</v>
      </c>
      <c r="C135" s="210">
        <v>0</v>
      </c>
      <c r="D135" s="210">
        <v>1.2</v>
      </c>
      <c r="E135" s="211">
        <f t="shared" si="20"/>
        <v>0</v>
      </c>
      <c r="F135" s="210">
        <v>23</v>
      </c>
      <c r="G135" s="210">
        <f>E135*F135*0.3</f>
        <v>0</v>
      </c>
    </row>
    <row r="136" spans="1:7" ht="12.75">
      <c r="A136" s="210"/>
      <c r="B136" s="210" t="s">
        <v>242</v>
      </c>
      <c r="C136" s="210">
        <v>0</v>
      </c>
      <c r="D136" s="210">
        <v>1.2</v>
      </c>
      <c r="E136" s="211">
        <f t="shared" si="20"/>
        <v>0</v>
      </c>
      <c r="F136" s="210">
        <v>80</v>
      </c>
      <c r="G136" s="210">
        <f aca="true" t="shared" si="21" ref="G136:G141">E136*F136</f>
        <v>0</v>
      </c>
    </row>
    <row r="137" spans="1:7" ht="12.75">
      <c r="A137" s="210"/>
      <c r="B137" s="210" t="s">
        <v>243</v>
      </c>
      <c r="C137" s="210">
        <v>60</v>
      </c>
      <c r="D137" s="210">
        <v>1.2</v>
      </c>
      <c r="E137" s="211">
        <f t="shared" si="20"/>
        <v>72</v>
      </c>
      <c r="F137" s="210">
        <v>3</v>
      </c>
      <c r="G137" s="210">
        <f t="shared" si="21"/>
        <v>216</v>
      </c>
    </row>
    <row r="138" spans="1:7" ht="12.75">
      <c r="A138" s="210"/>
      <c r="B138" s="210" t="s">
        <v>237</v>
      </c>
      <c r="C138" s="210">
        <v>0</v>
      </c>
      <c r="D138" s="210">
        <v>1.2</v>
      </c>
      <c r="E138" s="211">
        <f t="shared" si="20"/>
        <v>0</v>
      </c>
      <c r="F138" s="210">
        <v>19</v>
      </c>
      <c r="G138" s="210">
        <f t="shared" si="21"/>
        <v>0</v>
      </c>
    </row>
    <row r="139" spans="1:7" ht="12.75">
      <c r="A139" s="210"/>
      <c r="B139" s="210" t="s">
        <v>244</v>
      </c>
      <c r="C139" s="210">
        <v>0</v>
      </c>
      <c r="D139" s="210">
        <v>1.2</v>
      </c>
      <c r="E139" s="211">
        <f t="shared" si="20"/>
        <v>0</v>
      </c>
      <c r="F139" s="210">
        <v>514</v>
      </c>
      <c r="G139" s="210">
        <f t="shared" si="21"/>
        <v>0</v>
      </c>
    </row>
    <row r="140" spans="1:7" ht="12.75">
      <c r="A140" s="210"/>
      <c r="B140" s="210" t="s">
        <v>245</v>
      </c>
      <c r="C140" s="210">
        <v>2</v>
      </c>
      <c r="D140" s="210">
        <v>1.2</v>
      </c>
      <c r="E140" s="211">
        <f t="shared" si="20"/>
        <v>2</v>
      </c>
      <c r="F140" s="210">
        <v>80</v>
      </c>
      <c r="G140" s="210">
        <f t="shared" si="21"/>
        <v>160</v>
      </c>
    </row>
    <row r="141" spans="1:7" ht="13.5" thickBot="1">
      <c r="A141" s="210"/>
      <c r="B141" s="10" t="s">
        <v>246</v>
      </c>
      <c r="C141" s="10">
        <v>2</v>
      </c>
      <c r="D141" s="210">
        <v>1.2</v>
      </c>
      <c r="E141" s="211">
        <f t="shared" si="20"/>
        <v>2</v>
      </c>
      <c r="F141" s="210">
        <v>0</v>
      </c>
      <c r="G141" s="210">
        <f t="shared" si="21"/>
        <v>0</v>
      </c>
    </row>
    <row r="142" spans="1:7" ht="14.25" thickBot="1" thickTop="1">
      <c r="A142" s="10"/>
      <c r="B142" s="10" t="s">
        <v>253</v>
      </c>
      <c r="C142" s="10">
        <f>SUM(C132:C141)</f>
        <v>305</v>
      </c>
      <c r="D142" s="216" t="s">
        <v>5</v>
      </c>
      <c r="E142" s="217">
        <f>SUM(E132:E141)</f>
        <v>365</v>
      </c>
      <c r="F142" s="216" t="s">
        <v>5</v>
      </c>
      <c r="G142" s="216">
        <f>SUM(G132:G141)</f>
        <v>1164</v>
      </c>
    </row>
    <row r="143" spans="1:7" ht="13.5" thickTop="1">
      <c r="A143" s="223"/>
      <c r="B143" s="224" t="s">
        <v>259</v>
      </c>
      <c r="C143" s="20"/>
      <c r="D143" s="20"/>
      <c r="E143" s="20"/>
      <c r="F143" s="20"/>
      <c r="G143" s="225">
        <f>+G21+G32+G43+G71+G82+G93+G104+G115+G131+G142</f>
        <v>53576.3</v>
      </c>
    </row>
    <row r="144" spans="1:7" ht="13.5" thickBot="1">
      <c r="A144" s="226"/>
      <c r="B144" s="227" t="s">
        <v>260</v>
      </c>
      <c r="C144" s="228"/>
      <c r="D144" s="228"/>
      <c r="E144" s="228"/>
      <c r="F144" s="228"/>
      <c r="G144" s="229">
        <f>+(G143/365)</f>
        <v>146.78438356164384</v>
      </c>
    </row>
    <row r="145" ht="13.5" thickTop="1"/>
    <row r="146" ht="12.75">
      <c r="A146" t="s">
        <v>261</v>
      </c>
    </row>
    <row r="147" ht="12.75">
      <c r="A147" t="s">
        <v>262</v>
      </c>
    </row>
    <row r="148" ht="12.75">
      <c r="A148" t="s">
        <v>333</v>
      </c>
    </row>
    <row r="149" ht="12.75">
      <c r="A149" t="s">
        <v>334</v>
      </c>
    </row>
    <row r="151" ht="12.75">
      <c r="A151" s="13" t="s">
        <v>263</v>
      </c>
    </row>
    <row r="182" spans="1:7" ht="12.75">
      <c r="A182" s="330" t="s">
        <v>344</v>
      </c>
      <c r="B182" s="330"/>
      <c r="C182" s="330"/>
      <c r="D182" s="330"/>
      <c r="E182" s="330"/>
      <c r="F182" s="330"/>
      <c r="G182" s="330"/>
    </row>
  </sheetData>
  <sheetProtection/>
  <mergeCells count="4">
    <mergeCell ref="A2:G2"/>
    <mergeCell ref="A56:G56"/>
    <mergeCell ref="A117:G117"/>
    <mergeCell ref="A182:G18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&amp;C&amp;"Arial,Bold"Table B-21</oddHeader>
  </headerFooter>
  <rowBreaks count="2" manualBreakCount="2">
    <brk id="59" max="5" man="1"/>
    <brk id="12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821"/>
  <dimension ref="A1:K30"/>
  <sheetViews>
    <sheetView zoomScalePageLayoutView="0" workbookViewId="0" topLeftCell="A1">
      <selection activeCell="A16" sqref="A16"/>
    </sheetView>
  </sheetViews>
  <sheetFormatPr defaultColWidth="9.140625" defaultRowHeight="12.75"/>
  <cols>
    <col min="3" max="3" width="15.421875" style="0" customWidth="1"/>
    <col min="12" max="12" width="8.421875" style="0" customWidth="1"/>
  </cols>
  <sheetData>
    <row r="1" spans="2:11" ht="17.25">
      <c r="B1" s="324" t="s">
        <v>270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2:11" ht="17.25">
      <c r="B2" s="324" t="s">
        <v>271</v>
      </c>
      <c r="C2" s="324"/>
      <c r="D2" s="324"/>
      <c r="E2" s="324"/>
      <c r="F2" s="324"/>
      <c r="G2" s="324"/>
      <c r="H2" s="324"/>
      <c r="I2" s="324"/>
      <c r="J2" s="324"/>
      <c r="K2" s="324"/>
    </row>
    <row r="3" ht="13.5" thickBot="1"/>
    <row r="4" spans="2:11" ht="46.5" customHeight="1" thickBot="1">
      <c r="B4" s="256" t="s">
        <v>37</v>
      </c>
      <c r="C4" s="257"/>
      <c r="D4" s="2"/>
      <c r="E4" s="5" t="s">
        <v>38</v>
      </c>
      <c r="F4" s="6"/>
      <c r="G4" s="6" t="s">
        <v>39</v>
      </c>
      <c r="H4" s="53" t="s">
        <v>40</v>
      </c>
      <c r="I4" s="53" t="s">
        <v>41</v>
      </c>
      <c r="J4" s="52" t="s">
        <v>42</v>
      </c>
      <c r="K4" s="33" t="s">
        <v>43</v>
      </c>
    </row>
    <row r="5" spans="2:11" ht="12.75">
      <c r="B5" s="40"/>
      <c r="C5" s="20"/>
      <c r="D5" s="20"/>
      <c r="E5" s="47"/>
      <c r="F5" s="20"/>
      <c r="G5" s="20"/>
      <c r="H5" s="20"/>
      <c r="I5" s="20"/>
      <c r="J5" s="20"/>
      <c r="K5" s="58"/>
    </row>
    <row r="6" spans="2:11" ht="12.75">
      <c r="B6" s="43" t="s">
        <v>44</v>
      </c>
      <c r="C6" s="20"/>
      <c r="D6" s="20"/>
      <c r="E6" s="47"/>
      <c r="F6" s="20"/>
      <c r="G6" s="20"/>
      <c r="H6" s="20"/>
      <c r="I6" s="20"/>
      <c r="J6" s="20"/>
      <c r="K6" s="59"/>
    </row>
    <row r="7" spans="2:11" ht="12.75">
      <c r="B7" s="43" t="s">
        <v>45</v>
      </c>
      <c r="C7" s="20"/>
      <c r="E7" s="60">
        <v>0</v>
      </c>
      <c r="F7" s="26"/>
      <c r="G7" s="26" t="s">
        <v>46</v>
      </c>
      <c r="H7" s="26">
        <v>2</v>
      </c>
      <c r="I7" s="26">
        <v>16.2</v>
      </c>
      <c r="J7" s="20">
        <f>0.000856-0.00047</f>
        <v>0.000386</v>
      </c>
      <c r="K7" s="97">
        <f>E7*H7*I7*J7</f>
        <v>0</v>
      </c>
    </row>
    <row r="8" spans="2:11" ht="12.75">
      <c r="B8" s="43" t="s">
        <v>5</v>
      </c>
      <c r="C8" s="20"/>
      <c r="D8" s="20"/>
      <c r="E8" s="47"/>
      <c r="F8" s="20"/>
      <c r="G8" s="20"/>
      <c r="H8" s="20"/>
      <c r="I8" s="20"/>
      <c r="J8" s="20"/>
      <c r="K8" s="105"/>
    </row>
    <row r="9" spans="2:11" ht="12.75">
      <c r="B9" s="43" t="s">
        <v>175</v>
      </c>
      <c r="C9" s="20"/>
      <c r="D9" s="20"/>
      <c r="E9" s="60">
        <v>0</v>
      </c>
      <c r="F9" s="20"/>
      <c r="G9" s="26" t="s">
        <v>46</v>
      </c>
      <c r="H9" s="26">
        <v>1</v>
      </c>
      <c r="I9" s="26">
        <v>10</v>
      </c>
      <c r="J9" s="20">
        <f>0.000856-0.00047</f>
        <v>0.000386</v>
      </c>
      <c r="K9" s="97">
        <f>E9*H9*I9*J9</f>
        <v>0</v>
      </c>
    </row>
    <row r="10" spans="2:11" ht="12.75">
      <c r="B10" s="43"/>
      <c r="C10" s="20"/>
      <c r="D10" s="20"/>
      <c r="E10" s="47"/>
      <c r="F10" s="20"/>
      <c r="G10" s="20"/>
      <c r="H10" s="20"/>
      <c r="I10" s="20"/>
      <c r="J10" s="20"/>
      <c r="K10" s="105"/>
    </row>
    <row r="11" spans="2:11" ht="12.75">
      <c r="B11" s="43" t="s">
        <v>176</v>
      </c>
      <c r="C11" s="20"/>
      <c r="D11" s="20"/>
      <c r="E11" s="60">
        <v>0</v>
      </c>
      <c r="F11" s="26"/>
      <c r="G11" s="26" t="s">
        <v>46</v>
      </c>
      <c r="H11" s="26">
        <v>2</v>
      </c>
      <c r="I11" s="26">
        <v>16.2</v>
      </c>
      <c r="J11" s="20">
        <f>0.0026-0.00047</f>
        <v>0.00213</v>
      </c>
      <c r="K11" s="97">
        <f>E11*H11*I11*J11</f>
        <v>0</v>
      </c>
    </row>
    <row r="12" spans="2:11" ht="12.75">
      <c r="B12" s="43" t="s">
        <v>5</v>
      </c>
      <c r="C12" s="20"/>
      <c r="D12" s="20"/>
      <c r="E12" s="47"/>
      <c r="F12" s="20"/>
      <c r="G12" s="20"/>
      <c r="H12" s="20"/>
      <c r="I12" s="20"/>
      <c r="J12" s="20"/>
      <c r="K12" s="105"/>
    </row>
    <row r="13" spans="2:11" ht="12.75">
      <c r="B13" s="43" t="s">
        <v>152</v>
      </c>
      <c r="C13" s="20"/>
      <c r="D13" s="20"/>
      <c r="E13" s="60">
        <v>0</v>
      </c>
      <c r="F13" s="20"/>
      <c r="G13" s="26" t="s">
        <v>48</v>
      </c>
      <c r="H13" s="26">
        <v>2</v>
      </c>
      <c r="I13" s="26">
        <v>1.5</v>
      </c>
      <c r="J13" s="20">
        <f>0.0206-0.00047</f>
        <v>0.02013</v>
      </c>
      <c r="K13" s="97">
        <f>E13*H13*I13*J13</f>
        <v>0</v>
      </c>
    </row>
    <row r="14" spans="1:11" ht="12.75" customHeight="1">
      <c r="A14" s="323" t="s">
        <v>345</v>
      </c>
      <c r="B14" s="43"/>
      <c r="C14" s="20"/>
      <c r="D14" s="20"/>
      <c r="E14" s="47"/>
      <c r="F14" s="20"/>
      <c r="G14" s="20"/>
      <c r="H14" s="20"/>
      <c r="I14" s="20"/>
      <c r="J14" s="20"/>
      <c r="K14" s="105"/>
    </row>
    <row r="15" spans="1:11" ht="13.5" thickBot="1">
      <c r="A15" s="323"/>
      <c r="B15" s="43" t="s">
        <v>47</v>
      </c>
      <c r="C15" s="20"/>
      <c r="D15" s="20"/>
      <c r="E15" s="60">
        <v>16</v>
      </c>
      <c r="F15" s="26"/>
      <c r="G15" s="26" t="s">
        <v>48</v>
      </c>
      <c r="H15" s="26">
        <v>2</v>
      </c>
      <c r="I15" s="26">
        <v>50</v>
      </c>
      <c r="J15" s="20">
        <f>0.0206-0.00047</f>
        <v>0.02013</v>
      </c>
      <c r="K15" s="97">
        <f>E15*H15*I15*J15</f>
        <v>32.208</v>
      </c>
    </row>
    <row r="16" spans="2:11" ht="18.75" customHeight="1" thickBot="1">
      <c r="B16" s="1" t="s">
        <v>4</v>
      </c>
      <c r="C16" s="2"/>
      <c r="D16" s="2"/>
      <c r="E16" s="5">
        <f>SUM(E7:E15)</f>
        <v>16</v>
      </c>
      <c r="F16" s="2"/>
      <c r="G16" s="2"/>
      <c r="H16" s="2"/>
      <c r="I16" s="2"/>
      <c r="J16" s="2"/>
      <c r="K16" s="65">
        <f>SUM(K7:K15)</f>
        <v>32.208</v>
      </c>
    </row>
    <row r="18" ht="12.75">
      <c r="B18" s="13" t="s">
        <v>329</v>
      </c>
    </row>
    <row r="19" spans="2:3" ht="12.75">
      <c r="B19" s="13" t="s">
        <v>220</v>
      </c>
      <c r="C19" s="13"/>
    </row>
    <row r="20" spans="2:3" ht="12.75">
      <c r="B20" s="13" t="s">
        <v>95</v>
      </c>
      <c r="C20" s="13"/>
    </row>
    <row r="21" spans="2:3" ht="12.75">
      <c r="B21" s="13" t="s">
        <v>96</v>
      </c>
      <c r="C21" s="13"/>
    </row>
    <row r="22" spans="2:3" ht="12.75">
      <c r="B22" s="13" t="s">
        <v>221</v>
      </c>
      <c r="C22" s="13"/>
    </row>
    <row r="23" spans="2:3" ht="12.75">
      <c r="B23" s="13"/>
      <c r="C23" s="13"/>
    </row>
    <row r="24" spans="2:3" ht="12.75">
      <c r="B24" s="13"/>
      <c r="C24" s="13"/>
    </row>
    <row r="25" spans="2:3" ht="12.75">
      <c r="B25" s="13"/>
      <c r="C25" s="13"/>
    </row>
    <row r="26" ht="12.75">
      <c r="B26" s="13"/>
    </row>
    <row r="27" ht="12.75">
      <c r="B27" s="13"/>
    </row>
    <row r="30" spans="2:11" ht="12.75">
      <c r="B30" s="13"/>
      <c r="K30" s="57"/>
    </row>
  </sheetData>
  <sheetProtection/>
  <mergeCells count="4">
    <mergeCell ref="A14:A15"/>
    <mergeCell ref="B4:C4"/>
    <mergeCell ref="B2:K2"/>
    <mergeCell ref="B1:K1"/>
  </mergeCells>
  <printOptions horizontalCentered="1"/>
  <pageMargins left="1" right="1" top="1" bottom="1" header="0.5" footer="0.5"/>
  <pageSetup horizontalDpi="300" verticalDpi="300" orientation="landscape" r:id="rId1"/>
  <headerFooter alignWithMargins="0">
    <oddHeader>&amp;C&amp;"Arial,Bold"&amp;12Table B-22</oddHeader>
    <oddFooter>&amp;LN:\\2185\Construction Emissions EIR.xls&amp;R&amp;D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11"/>
  <dimension ref="A1:M29"/>
  <sheetViews>
    <sheetView zoomScale="80" zoomScaleNormal="80" zoomScalePageLayoutView="0" workbookViewId="0" topLeftCell="A5">
      <selection activeCell="A16" sqref="A16"/>
    </sheetView>
  </sheetViews>
  <sheetFormatPr defaultColWidth="9.140625" defaultRowHeight="12.75"/>
  <cols>
    <col min="2" max="2" width="19.2812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3" width="9.7109375" style="0" customWidth="1"/>
  </cols>
  <sheetData>
    <row r="1" spans="2:12" ht="13.5" thickBot="1">
      <c r="B1" s="20" t="s">
        <v>309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0" customHeight="1" thickBot="1">
      <c r="B2" s="172" t="s">
        <v>50</v>
      </c>
      <c r="C2" s="265" t="s">
        <v>139</v>
      </c>
      <c r="D2" s="272"/>
      <c r="E2" s="265" t="s">
        <v>140</v>
      </c>
      <c r="F2" s="266"/>
      <c r="G2" s="265" t="s">
        <v>141</v>
      </c>
      <c r="H2" s="272"/>
      <c r="I2" s="265" t="s">
        <v>142</v>
      </c>
      <c r="J2" s="266"/>
      <c r="K2" s="265" t="s">
        <v>143</v>
      </c>
      <c r="L2" s="266"/>
    </row>
    <row r="3" spans="2:12" ht="26.25">
      <c r="B3" s="61" t="s">
        <v>51</v>
      </c>
      <c r="C3" s="270">
        <v>0.015165</v>
      </c>
      <c r="D3" s="263"/>
      <c r="E3" s="263">
        <v>0.001626</v>
      </c>
      <c r="F3" s="263"/>
      <c r="G3" s="263">
        <v>0.001634</v>
      </c>
      <c r="H3" s="263"/>
      <c r="I3" s="263">
        <v>1E-05</v>
      </c>
      <c r="J3" s="263"/>
      <c r="K3" s="263">
        <v>7.9E-05</v>
      </c>
      <c r="L3" s="267"/>
    </row>
    <row r="4" spans="2:12" ht="12.75">
      <c r="B4" s="168" t="s">
        <v>52</v>
      </c>
      <c r="C4" s="352">
        <v>0.015165</v>
      </c>
      <c r="D4" s="353"/>
      <c r="E4" s="264">
        <v>0.001626</v>
      </c>
      <c r="F4" s="264"/>
      <c r="G4" s="264">
        <v>0.001634</v>
      </c>
      <c r="H4" s="264"/>
      <c r="I4" s="264">
        <v>1E-05</v>
      </c>
      <c r="J4" s="264"/>
      <c r="K4" s="353">
        <v>7.9E-05</v>
      </c>
      <c r="L4" s="354"/>
    </row>
    <row r="5" spans="2:12" ht="12.75">
      <c r="B5" s="169" t="s">
        <v>151</v>
      </c>
      <c r="C5" s="271">
        <v>0.020984</v>
      </c>
      <c r="D5" s="264"/>
      <c r="E5" s="264">
        <v>0.002955</v>
      </c>
      <c r="F5" s="264"/>
      <c r="G5" s="264">
        <v>0.028142</v>
      </c>
      <c r="H5" s="264"/>
      <c r="I5" s="264">
        <v>0.000246</v>
      </c>
      <c r="J5" s="264"/>
      <c r="K5" s="268">
        <v>0.0005</v>
      </c>
      <c r="L5" s="269"/>
    </row>
    <row r="6" spans="2:12" ht="13.5" thickBot="1">
      <c r="B6" s="170" t="s">
        <v>53</v>
      </c>
      <c r="C6" s="351">
        <v>0.020984</v>
      </c>
      <c r="D6" s="275"/>
      <c r="E6" s="275">
        <v>0.002955</v>
      </c>
      <c r="F6" s="275"/>
      <c r="G6" s="275">
        <v>0.028142</v>
      </c>
      <c r="H6" s="275"/>
      <c r="I6" s="275">
        <v>0.000246</v>
      </c>
      <c r="J6" s="275"/>
      <c r="K6" s="355">
        <v>0.0005</v>
      </c>
      <c r="L6" s="356"/>
    </row>
    <row r="7" ht="13.5" thickBot="1"/>
    <row r="8" spans="2:13" ht="13.5" thickBot="1">
      <c r="B8" s="63"/>
      <c r="C8" s="256" t="s">
        <v>54</v>
      </c>
      <c r="D8" s="257"/>
      <c r="E8" s="258"/>
      <c r="F8" s="256" t="s">
        <v>55</v>
      </c>
      <c r="G8" s="257"/>
      <c r="H8" s="257"/>
      <c r="I8" s="257"/>
      <c r="J8" s="258"/>
      <c r="K8" s="26"/>
      <c r="L8" s="26"/>
      <c r="M8" s="26"/>
    </row>
    <row r="9" spans="2:13" ht="39.75" thickBot="1">
      <c r="B9" s="48" t="s">
        <v>58</v>
      </c>
      <c r="C9" s="155" t="s">
        <v>56</v>
      </c>
      <c r="D9" s="166" t="s">
        <v>57</v>
      </c>
      <c r="E9" s="154" t="s">
        <v>144</v>
      </c>
      <c r="F9" s="125" t="s">
        <v>145</v>
      </c>
      <c r="G9" s="17" t="s">
        <v>146</v>
      </c>
      <c r="H9" s="175" t="s">
        <v>147</v>
      </c>
      <c r="I9" s="175" t="s">
        <v>148</v>
      </c>
      <c r="J9" s="17" t="s">
        <v>149</v>
      </c>
      <c r="K9" s="46"/>
      <c r="L9" s="156"/>
      <c r="M9" s="156"/>
    </row>
    <row r="10" spans="2:13" ht="12.75" customHeight="1">
      <c r="B10" s="290" t="s">
        <v>59</v>
      </c>
      <c r="C10" s="270">
        <v>0</v>
      </c>
      <c r="D10" s="263">
        <f>C10*2</f>
        <v>0</v>
      </c>
      <c r="E10" s="267">
        <v>16.2</v>
      </c>
      <c r="F10" s="288">
        <f>D10*E10*C$3</f>
        <v>0</v>
      </c>
      <c r="G10" s="289">
        <f>D10*E10*E$3</f>
        <v>0</v>
      </c>
      <c r="H10" s="259">
        <f>D10*E10*G$3</f>
        <v>0</v>
      </c>
      <c r="I10" s="259">
        <f>D10*E10*I$3</f>
        <v>0</v>
      </c>
      <c r="J10" s="260">
        <f>D10*E10*K$3</f>
        <v>0</v>
      </c>
      <c r="K10" s="287"/>
      <c r="L10" s="298"/>
      <c r="M10" s="298"/>
    </row>
    <row r="11" spans="2:13" ht="12.75">
      <c r="B11" s="291"/>
      <c r="C11" s="271"/>
      <c r="D11" s="264"/>
      <c r="E11" s="292"/>
      <c r="F11" s="277"/>
      <c r="G11" s="283"/>
      <c r="H11" s="259"/>
      <c r="I11" s="259"/>
      <c r="J11" s="261"/>
      <c r="K11" s="287"/>
      <c r="L11" s="298"/>
      <c r="M11" s="298"/>
    </row>
    <row r="12" spans="2:13" s="119" customFormat="1" ht="12.75" customHeight="1">
      <c r="B12" s="168" t="s">
        <v>60</v>
      </c>
      <c r="C12" s="118">
        <v>0</v>
      </c>
      <c r="D12" s="18">
        <f>C12</f>
        <v>0</v>
      </c>
      <c r="E12" s="116">
        <v>10</v>
      </c>
      <c r="F12" s="123">
        <f>D12*E12*C$3</f>
        <v>0</v>
      </c>
      <c r="G12" s="173">
        <f>D12*E12*E$3</f>
        <v>0</v>
      </c>
      <c r="H12" s="22">
        <f>D12*E12*G$3</f>
        <v>0</v>
      </c>
      <c r="I12" s="22">
        <f>D12*E12*I$3</f>
        <v>0</v>
      </c>
      <c r="J12" s="126">
        <f>D12*E12*K$3</f>
        <v>0</v>
      </c>
      <c r="K12" s="152"/>
      <c r="L12" s="167"/>
      <c r="M12" s="167"/>
    </row>
    <row r="13" spans="1:13" s="119" customFormat="1" ht="12.75" customHeight="1">
      <c r="A13" s="323" t="s">
        <v>356</v>
      </c>
      <c r="B13" s="169" t="s">
        <v>52</v>
      </c>
      <c r="C13" s="118">
        <v>0</v>
      </c>
      <c r="D13" s="18">
        <f>C13*2</f>
        <v>0</v>
      </c>
      <c r="E13" s="116">
        <v>16.2</v>
      </c>
      <c r="F13" s="123">
        <f>D13*E13*C$3</f>
        <v>0</v>
      </c>
      <c r="G13" s="173">
        <f>D13*E13*E$3</f>
        <v>0</v>
      </c>
      <c r="H13" s="22">
        <f>D13*E13*G$3</f>
        <v>0</v>
      </c>
      <c r="I13" s="22">
        <f>D13*E13*I$3</f>
        <v>0</v>
      </c>
      <c r="J13" s="126">
        <f>D13*E13*K$3</f>
        <v>0</v>
      </c>
      <c r="K13" s="152"/>
      <c r="L13" s="167"/>
      <c r="M13" s="167"/>
    </row>
    <row r="14" spans="1:13" s="119" customFormat="1" ht="12.75" customHeight="1">
      <c r="A14" s="323"/>
      <c r="B14" s="151" t="s">
        <v>152</v>
      </c>
      <c r="C14" s="118">
        <v>0</v>
      </c>
      <c r="D14" s="18">
        <f>C14*2</f>
        <v>0</v>
      </c>
      <c r="E14" s="116">
        <v>1.5</v>
      </c>
      <c r="F14" s="123">
        <f>$D14*$E14*C5</f>
        <v>0</v>
      </c>
      <c r="G14" s="173">
        <f>$D14*$E14*E5</f>
        <v>0</v>
      </c>
      <c r="H14" s="22">
        <f>$D14*$E14*G5</f>
        <v>0</v>
      </c>
      <c r="I14" s="22">
        <f>$D14*$E14*I5</f>
        <v>0</v>
      </c>
      <c r="J14" s="121">
        <f>$D14*$E14*K5</f>
        <v>0</v>
      </c>
      <c r="K14" s="152"/>
      <c r="L14" s="167"/>
      <c r="M14" s="167"/>
    </row>
    <row r="15" spans="1:13" ht="12.75">
      <c r="A15" s="323"/>
      <c r="B15" s="151" t="s">
        <v>61</v>
      </c>
      <c r="C15" s="118">
        <v>16</v>
      </c>
      <c r="D15" s="18">
        <f>C15*2</f>
        <v>32</v>
      </c>
      <c r="E15" s="116">
        <v>50</v>
      </c>
      <c r="F15" s="123">
        <f>D15*E15*C$6</f>
        <v>33.5744</v>
      </c>
      <c r="G15" s="173">
        <f>D15*E15*E$6</f>
        <v>4.728000000000001</v>
      </c>
      <c r="H15" s="22">
        <f>D15*E15*G$6</f>
        <v>45.0272</v>
      </c>
      <c r="I15" s="22">
        <f>D15*E15*I$6</f>
        <v>0.3936</v>
      </c>
      <c r="J15" s="126">
        <f>D15*E15*K$6</f>
        <v>0.8</v>
      </c>
      <c r="K15" s="152"/>
      <c r="L15" s="167"/>
      <c r="M15" s="167"/>
    </row>
    <row r="16" spans="2:13" ht="13.5" thickBot="1">
      <c r="B16" s="170" t="s">
        <v>53</v>
      </c>
      <c r="C16" s="122">
        <v>0</v>
      </c>
      <c r="D16" s="85">
        <f>C16</f>
        <v>0</v>
      </c>
      <c r="E16" s="96">
        <v>4</v>
      </c>
      <c r="F16" s="124">
        <f>D16*E16*C$6</f>
        <v>0</v>
      </c>
      <c r="G16" s="174">
        <f>D16*E16*E$6</f>
        <v>0</v>
      </c>
      <c r="H16" s="120">
        <f>D16*E16*G$6</f>
        <v>0</v>
      </c>
      <c r="I16" s="120">
        <f>D16*E16*I$6</f>
        <v>0</v>
      </c>
      <c r="J16" s="113">
        <f>D16*E16*K$6</f>
        <v>0</v>
      </c>
      <c r="K16" s="152"/>
      <c r="L16" s="167"/>
      <c r="M16" s="167"/>
    </row>
    <row r="17" spans="2:13" ht="13.5" thickBot="1">
      <c r="B17" s="2"/>
      <c r="C17" s="6"/>
      <c r="D17" s="6"/>
      <c r="E17" s="6"/>
      <c r="F17" s="64"/>
      <c r="G17" s="64"/>
      <c r="H17" s="64"/>
      <c r="I17" s="64"/>
      <c r="J17" s="64"/>
      <c r="K17" s="153"/>
      <c r="L17" s="153"/>
      <c r="M17" s="153"/>
    </row>
    <row r="18" spans="2:13" ht="13.5" thickBot="1">
      <c r="B18" s="43" t="s">
        <v>58</v>
      </c>
      <c r="C18" s="255" t="s">
        <v>54</v>
      </c>
      <c r="D18" s="255"/>
      <c r="E18" s="262" t="s">
        <v>0</v>
      </c>
      <c r="F18" s="255"/>
      <c r="G18" s="262" t="s">
        <v>1</v>
      </c>
      <c r="H18" s="255"/>
      <c r="I18" s="262" t="s">
        <v>2</v>
      </c>
      <c r="J18" s="262"/>
      <c r="K18" s="262" t="s">
        <v>6</v>
      </c>
      <c r="L18" s="262"/>
      <c r="M18" s="65" t="s">
        <v>3</v>
      </c>
    </row>
    <row r="19" spans="2:13" ht="24.75" customHeight="1">
      <c r="B19" s="280" t="s">
        <v>150</v>
      </c>
      <c r="C19" s="270">
        <f>C10+C12</f>
        <v>0</v>
      </c>
      <c r="D19" s="282">
        <f>D10+D12</f>
        <v>0</v>
      </c>
      <c r="E19" s="288">
        <f>F10+F12</f>
        <v>0</v>
      </c>
      <c r="F19" s="263"/>
      <c r="G19" s="297">
        <f>G10+G12</f>
        <v>0</v>
      </c>
      <c r="H19" s="263"/>
      <c r="I19" s="297">
        <f>H10+H12</f>
        <v>0</v>
      </c>
      <c r="J19" s="263"/>
      <c r="K19" s="297">
        <f>I10+I12</f>
        <v>0</v>
      </c>
      <c r="L19" s="297"/>
      <c r="M19" s="260">
        <f>J10+J12</f>
        <v>0</v>
      </c>
    </row>
    <row r="20" spans="2:13" ht="24.75" customHeight="1">
      <c r="B20" s="281"/>
      <c r="C20" s="271"/>
      <c r="D20" s="268"/>
      <c r="E20" s="271"/>
      <c r="F20" s="264"/>
      <c r="G20" s="264"/>
      <c r="H20" s="264"/>
      <c r="I20" s="264"/>
      <c r="J20" s="264"/>
      <c r="K20" s="259"/>
      <c r="L20" s="259"/>
      <c r="M20" s="261"/>
    </row>
    <row r="21" spans="2:13" ht="24.75" customHeight="1">
      <c r="B21" s="169" t="s">
        <v>153</v>
      </c>
      <c r="C21" s="118">
        <f>C14</f>
        <v>0</v>
      </c>
      <c r="D21" s="171">
        <f>D14</f>
        <v>0</v>
      </c>
      <c r="E21" s="285">
        <f>F14</f>
        <v>0</v>
      </c>
      <c r="F21" s="286"/>
      <c r="G21" s="283">
        <f>G14</f>
        <v>0</v>
      </c>
      <c r="H21" s="286"/>
      <c r="I21" s="283">
        <f>H14</f>
        <v>0</v>
      </c>
      <c r="J21" s="286"/>
      <c r="K21" s="283">
        <f>I14</f>
        <v>0</v>
      </c>
      <c r="L21" s="284"/>
      <c r="M21" s="126">
        <f>J14</f>
        <v>0</v>
      </c>
    </row>
    <row r="22" spans="2:13" ht="12.75" customHeight="1">
      <c r="B22" s="293" t="s">
        <v>62</v>
      </c>
      <c r="C22" s="271">
        <f>C13</f>
        <v>0</v>
      </c>
      <c r="D22" s="268">
        <f>D13</f>
        <v>0</v>
      </c>
      <c r="E22" s="277">
        <f>F13</f>
        <v>0</v>
      </c>
      <c r="F22" s="278"/>
      <c r="G22" s="259">
        <f>G13</f>
        <v>0</v>
      </c>
      <c r="H22" s="264"/>
      <c r="I22" s="259">
        <f>+H13</f>
        <v>0</v>
      </c>
      <c r="J22" s="264"/>
      <c r="K22" s="259">
        <f>I13</f>
        <v>0</v>
      </c>
      <c r="L22" s="259"/>
      <c r="M22" s="261">
        <f>J13</f>
        <v>0</v>
      </c>
    </row>
    <row r="23" spans="2:13" ht="15.75" customHeight="1">
      <c r="B23" s="294"/>
      <c r="C23" s="276"/>
      <c r="D23" s="279"/>
      <c r="E23" s="276"/>
      <c r="F23" s="278"/>
      <c r="G23" s="264"/>
      <c r="H23" s="264"/>
      <c r="I23" s="264"/>
      <c r="J23" s="264"/>
      <c r="K23" s="259"/>
      <c r="L23" s="259"/>
      <c r="M23" s="261"/>
    </row>
    <row r="24" spans="2:13" ht="27.75" customHeight="1" thickBot="1">
      <c r="B24" s="195" t="s">
        <v>63</v>
      </c>
      <c r="C24" s="122">
        <f>C16+C15</f>
        <v>16</v>
      </c>
      <c r="D24" s="165">
        <f>+D15+D16</f>
        <v>32</v>
      </c>
      <c r="E24" s="274">
        <f>+F15+F16</f>
        <v>33.5744</v>
      </c>
      <c r="F24" s="275"/>
      <c r="G24" s="273">
        <f>G15+H15</f>
        <v>49.7552</v>
      </c>
      <c r="H24" s="275"/>
      <c r="I24" s="273">
        <f>H15+H16</f>
        <v>45.0272</v>
      </c>
      <c r="J24" s="275"/>
      <c r="K24" s="273">
        <f>I15+I16</f>
        <v>0.3936</v>
      </c>
      <c r="L24" s="273"/>
      <c r="M24" s="113">
        <f>J15+J16</f>
        <v>0.8</v>
      </c>
    </row>
    <row r="25" spans="2:13" ht="14.25" customHeight="1" thickBot="1">
      <c r="B25" s="1" t="s">
        <v>212</v>
      </c>
      <c r="C25" s="1"/>
      <c r="D25" s="2"/>
      <c r="E25" s="262">
        <f>SUM(E19:F24)</f>
        <v>33.5744</v>
      </c>
      <c r="F25" s="255"/>
      <c r="G25" s="262">
        <f>SUM(G19:H24)</f>
        <v>49.7552</v>
      </c>
      <c r="H25" s="255"/>
      <c r="I25" s="262">
        <f>SUM(I19:J24)</f>
        <v>45.0272</v>
      </c>
      <c r="J25" s="255"/>
      <c r="K25" s="262">
        <f>SUM(K19:L24)</f>
        <v>0.3936</v>
      </c>
      <c r="L25" s="255"/>
      <c r="M25" s="65">
        <f>SUM(M19:M24)</f>
        <v>0.8</v>
      </c>
    </row>
    <row r="27" ht="12.75">
      <c r="B27" s="13"/>
    </row>
    <row r="28" ht="12.75">
      <c r="B28" s="13"/>
    </row>
    <row r="29" ht="12.75">
      <c r="M29" s="57"/>
    </row>
  </sheetData>
  <sheetProtection/>
  <mergeCells count="73">
    <mergeCell ref="B10:B11"/>
    <mergeCell ref="B19:B20"/>
    <mergeCell ref="C19:C20"/>
    <mergeCell ref="D19:D20"/>
    <mergeCell ref="A13:A15"/>
    <mergeCell ref="E18:F18"/>
    <mergeCell ref="G18:H18"/>
    <mergeCell ref="I18:J18"/>
    <mergeCell ref="B22:B23"/>
    <mergeCell ref="F8:J8"/>
    <mergeCell ref="H10:H11"/>
    <mergeCell ref="I10:I11"/>
    <mergeCell ref="J10:J11"/>
    <mergeCell ref="C22:C23"/>
    <mergeCell ref="D22:D23"/>
    <mergeCell ref="C10:C11"/>
    <mergeCell ref="D10:D11"/>
    <mergeCell ref="E10:E11"/>
    <mergeCell ref="C8:E8"/>
    <mergeCell ref="G6:H6"/>
    <mergeCell ref="I3:J3"/>
    <mergeCell ref="I6:J6"/>
    <mergeCell ref="G5:H5"/>
    <mergeCell ref="E6:F6"/>
    <mergeCell ref="C3:D3"/>
    <mergeCell ref="C6:D6"/>
    <mergeCell ref="E2:F2"/>
    <mergeCell ref="E3:F3"/>
    <mergeCell ref="C2:D2"/>
    <mergeCell ref="C4:D4"/>
    <mergeCell ref="E4:F4"/>
    <mergeCell ref="C5:D5"/>
    <mergeCell ref="E5:F5"/>
    <mergeCell ref="K25:L25"/>
    <mergeCell ref="K24:L24"/>
    <mergeCell ref="E24:F24"/>
    <mergeCell ref="G24:H24"/>
    <mergeCell ref="I24:J24"/>
    <mergeCell ref="E25:F25"/>
    <mergeCell ref="G25:H25"/>
    <mergeCell ref="I25:J25"/>
    <mergeCell ref="K21:L21"/>
    <mergeCell ref="E21:F21"/>
    <mergeCell ref="G21:H21"/>
    <mergeCell ref="I21:J21"/>
    <mergeCell ref="G2:H2"/>
    <mergeCell ref="K18:L18"/>
    <mergeCell ref="I2:J2"/>
    <mergeCell ref="K3:L3"/>
    <mergeCell ref="K4:L4"/>
    <mergeCell ref="K6:L6"/>
    <mergeCell ref="K2:L2"/>
    <mergeCell ref="I5:J5"/>
    <mergeCell ref="K5:L5"/>
    <mergeCell ref="G3:H3"/>
    <mergeCell ref="G4:H4"/>
    <mergeCell ref="I4:J4"/>
    <mergeCell ref="M22:M23"/>
    <mergeCell ref="E22:F23"/>
    <mergeCell ref="G22:H23"/>
    <mergeCell ref="I22:J23"/>
    <mergeCell ref="K22:L23"/>
    <mergeCell ref="M19:M20"/>
    <mergeCell ref="E19:F20"/>
    <mergeCell ref="G19:H20"/>
    <mergeCell ref="I19:J20"/>
    <mergeCell ref="K19:L20"/>
    <mergeCell ref="C18:D18"/>
    <mergeCell ref="L10:L11"/>
    <mergeCell ref="M10:M11"/>
    <mergeCell ref="K10:K11"/>
    <mergeCell ref="F10:F11"/>
    <mergeCell ref="G10:G11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&amp;C&amp;"Arial,Bold"&amp;12Table B-23
Operational Vehicle Emissions 
</oddHeader>
    <oddFooter>&amp;LN:\\2185\Construction Emissions EIR.xls&amp;R&amp;D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G51"/>
  <sheetViews>
    <sheetView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12.421875" style="0" customWidth="1"/>
    <col min="2" max="2" width="15.140625" style="0" customWidth="1"/>
    <col min="3" max="3" width="15.7109375" style="0" customWidth="1"/>
    <col min="4" max="4" width="12.421875" style="0" customWidth="1"/>
    <col min="5" max="5" width="12.28125" style="0" customWidth="1"/>
    <col min="6" max="6" width="15.140625" style="0" customWidth="1"/>
    <col min="7" max="7" width="14.57421875" style="0" customWidth="1"/>
  </cols>
  <sheetData>
    <row r="2" spans="1:7" ht="12.75">
      <c r="A2" s="348" t="s">
        <v>273</v>
      </c>
      <c r="B2" s="348"/>
      <c r="C2" s="348"/>
      <c r="D2" s="348"/>
      <c r="E2" s="348"/>
      <c r="F2" s="357"/>
      <c r="G2" s="357"/>
    </row>
    <row r="3" spans="1:5" ht="12.75">
      <c r="A3" s="204"/>
      <c r="B3" s="204"/>
      <c r="C3" s="204"/>
      <c r="D3" s="204"/>
      <c r="E3" s="204"/>
    </row>
    <row r="4" spans="1:5" ht="12.75">
      <c r="A4" s="204"/>
      <c r="B4" s="204" t="s">
        <v>274</v>
      </c>
      <c r="C4" s="204"/>
      <c r="D4" s="230"/>
      <c r="E4" s="204"/>
    </row>
    <row r="5" spans="1:5" ht="12.75">
      <c r="A5" s="231" t="s">
        <v>275</v>
      </c>
      <c r="B5" s="204">
        <v>245</v>
      </c>
      <c r="C5" s="204"/>
      <c r="D5" s="232"/>
      <c r="E5" s="204"/>
    </row>
    <row r="6" spans="1:5" ht="12.75">
      <c r="A6" s="231" t="s">
        <v>276</v>
      </c>
      <c r="B6" s="204">
        <v>24</v>
      </c>
      <c r="C6" s="204"/>
      <c r="D6" s="204"/>
      <c r="E6" s="204"/>
    </row>
    <row r="7" spans="1:5" ht="12.75">
      <c r="A7" s="231" t="s">
        <v>335</v>
      </c>
      <c r="B7" s="204">
        <v>1400</v>
      </c>
      <c r="C7" s="204"/>
      <c r="D7" s="204"/>
      <c r="E7" s="204"/>
    </row>
    <row r="8" spans="1:5" ht="12.75">
      <c r="A8" s="231" t="s">
        <v>336</v>
      </c>
      <c r="B8" s="233">
        <f>+B5*B6/B7</f>
        <v>4.2</v>
      </c>
      <c r="C8" s="233"/>
      <c r="D8" s="233"/>
      <c r="E8" s="204"/>
    </row>
    <row r="9" spans="1:5" ht="12.75">
      <c r="A9" s="231"/>
      <c r="B9" s="233"/>
      <c r="C9" s="233"/>
      <c r="D9" s="233"/>
      <c r="E9" s="204"/>
    </row>
    <row r="10" spans="1:5" ht="15.75" thickBot="1">
      <c r="A10" s="234" t="s">
        <v>285</v>
      </c>
      <c r="E10" s="234" t="s">
        <v>286</v>
      </c>
    </row>
    <row r="11" spans="1:7" ht="40.5" thickBot="1" thickTop="1">
      <c r="A11" s="235" t="s">
        <v>277</v>
      </c>
      <c r="B11" s="236" t="s">
        <v>278</v>
      </c>
      <c r="C11" s="236" t="s">
        <v>279</v>
      </c>
      <c r="E11" s="235" t="s">
        <v>277</v>
      </c>
      <c r="F11" s="236" t="s">
        <v>278</v>
      </c>
      <c r="G11" s="236" t="s">
        <v>280</v>
      </c>
    </row>
    <row r="12" spans="1:7" ht="13.5" thickTop="1">
      <c r="A12" s="220" t="s">
        <v>0</v>
      </c>
      <c r="B12" s="220">
        <v>40</v>
      </c>
      <c r="C12" s="237">
        <f>+B8*B12</f>
        <v>168</v>
      </c>
      <c r="E12" s="220" t="s">
        <v>0</v>
      </c>
      <c r="F12" s="220">
        <v>40</v>
      </c>
      <c r="G12" s="238">
        <f>+B8*F12/24</f>
        <v>7</v>
      </c>
    </row>
    <row r="13" spans="1:7" ht="12.75">
      <c r="A13" s="16" t="s">
        <v>1</v>
      </c>
      <c r="B13" s="16">
        <v>7</v>
      </c>
      <c r="C13" s="24">
        <f>+B8*B13</f>
        <v>29.400000000000002</v>
      </c>
      <c r="E13" s="16" t="s">
        <v>1</v>
      </c>
      <c r="F13" s="16">
        <v>7</v>
      </c>
      <c r="G13" s="24">
        <f>+B8*F13/24</f>
        <v>1.225</v>
      </c>
    </row>
    <row r="14" spans="1:7" ht="15">
      <c r="A14" s="16" t="s">
        <v>287</v>
      </c>
      <c r="B14" s="16">
        <v>15.31</v>
      </c>
      <c r="C14" s="24">
        <f>+B8*B14</f>
        <v>64.302</v>
      </c>
      <c r="E14" s="16" t="s">
        <v>2</v>
      </c>
      <c r="F14" s="16">
        <v>15.31</v>
      </c>
      <c r="G14" s="24">
        <f>+B8*F14/24</f>
        <v>2.67925</v>
      </c>
    </row>
    <row r="15" spans="1:7" ht="12.75">
      <c r="A15" s="16" t="s">
        <v>6</v>
      </c>
      <c r="B15" s="16">
        <v>16.9</v>
      </c>
      <c r="C15" s="24">
        <f>+B8*B15</f>
        <v>70.98</v>
      </c>
      <c r="E15" s="16" t="s">
        <v>6</v>
      </c>
      <c r="F15" s="16">
        <v>16.9</v>
      </c>
      <c r="G15" s="24">
        <f>+B8*F15/24</f>
        <v>2.9575</v>
      </c>
    </row>
    <row r="16" spans="1:7" ht="12.75">
      <c r="A16" s="16" t="s">
        <v>3</v>
      </c>
      <c r="B16" s="16">
        <v>21</v>
      </c>
      <c r="C16" s="24">
        <f>+B8*B16</f>
        <v>88.2</v>
      </c>
      <c r="E16" s="16" t="s">
        <v>3</v>
      </c>
      <c r="F16" s="16">
        <v>21</v>
      </c>
      <c r="G16" s="24">
        <f>+B8*F16/24</f>
        <v>3.6750000000000003</v>
      </c>
    </row>
    <row r="17" spans="1:7" ht="12.75">
      <c r="A17" s="239" t="s">
        <v>281</v>
      </c>
      <c r="B17" s="239">
        <v>12.6</v>
      </c>
      <c r="C17" s="240">
        <f>+B8*B17</f>
        <v>52.92</v>
      </c>
      <c r="E17" s="239" t="s">
        <v>281</v>
      </c>
      <c r="F17" s="239">
        <v>12.6</v>
      </c>
      <c r="G17" s="24">
        <f>+B8*F17/24</f>
        <v>2.205</v>
      </c>
    </row>
    <row r="18" spans="1:5" ht="12.75">
      <c r="A18" s="241" t="s">
        <v>282</v>
      </c>
      <c r="E18" s="241" t="s">
        <v>282</v>
      </c>
    </row>
    <row r="19" spans="1:5" ht="12.75">
      <c r="A19" s="241" t="s">
        <v>283</v>
      </c>
      <c r="E19" s="241" t="s">
        <v>283</v>
      </c>
    </row>
    <row r="20" spans="1:5" ht="12.75">
      <c r="A20" s="241"/>
      <c r="E20" s="241"/>
    </row>
    <row r="21" spans="1:5" ht="15.75" thickBot="1">
      <c r="A21" s="234" t="s">
        <v>288</v>
      </c>
      <c r="B21" s="233"/>
      <c r="C21" s="233"/>
      <c r="D21" s="233"/>
      <c r="E21" s="241"/>
    </row>
    <row r="22" spans="1:5" ht="40.5" thickBot="1" thickTop="1">
      <c r="A22" s="235" t="s">
        <v>277</v>
      </c>
      <c r="B22" s="236" t="s">
        <v>278</v>
      </c>
      <c r="C22" s="236" t="s">
        <v>284</v>
      </c>
      <c r="D22" s="233"/>
      <c r="E22" s="241"/>
    </row>
    <row r="23" spans="1:5" ht="13.5" thickTop="1">
      <c r="A23" s="220" t="s">
        <v>0</v>
      </c>
      <c r="B23" s="220">
        <v>40</v>
      </c>
      <c r="C23" s="238">
        <f>+$B8*B23*30</f>
        <v>5040</v>
      </c>
      <c r="D23" s="233"/>
      <c r="E23" s="241"/>
    </row>
    <row r="24" spans="1:5" ht="12.75">
      <c r="A24" s="16" t="s">
        <v>1</v>
      </c>
      <c r="B24" s="16">
        <v>7</v>
      </c>
      <c r="C24" s="240">
        <f>+$B8*B24*30</f>
        <v>882.0000000000001</v>
      </c>
      <c r="D24" s="233"/>
      <c r="E24" s="241"/>
    </row>
    <row r="25" spans="1:5" ht="12.75">
      <c r="A25" s="16" t="s">
        <v>2</v>
      </c>
      <c r="B25" s="16">
        <v>15.31</v>
      </c>
      <c r="C25" s="24">
        <f>+$B8*B25*30</f>
        <v>1929.0600000000002</v>
      </c>
      <c r="D25" s="233"/>
      <c r="E25" s="241"/>
    </row>
    <row r="26" spans="1:5" ht="12.75">
      <c r="A26" s="16" t="s">
        <v>6</v>
      </c>
      <c r="B26" s="16">
        <v>16.9</v>
      </c>
      <c r="C26" s="24">
        <f>+$B8*B26*30</f>
        <v>2129.4</v>
      </c>
      <c r="D26" s="233"/>
      <c r="E26" s="241"/>
    </row>
    <row r="27" spans="1:5" ht="12.75">
      <c r="A27" s="16" t="s">
        <v>3</v>
      </c>
      <c r="B27" s="16">
        <v>21</v>
      </c>
      <c r="C27" s="24">
        <f>+$B8*B27*30</f>
        <v>2646</v>
      </c>
      <c r="D27" s="233"/>
      <c r="E27" s="241"/>
    </row>
    <row r="28" spans="1:5" ht="12.75">
      <c r="A28" s="239" t="s">
        <v>281</v>
      </c>
      <c r="B28" s="239">
        <v>12.6</v>
      </c>
      <c r="C28" s="24">
        <f>+$B8*B28</f>
        <v>52.92</v>
      </c>
      <c r="D28" s="233"/>
      <c r="E28" s="241"/>
    </row>
    <row r="29" spans="1:5" ht="12.75">
      <c r="A29" s="241" t="s">
        <v>282</v>
      </c>
      <c r="B29" s="233"/>
      <c r="C29" s="233"/>
      <c r="D29" s="233"/>
      <c r="E29" s="241"/>
    </row>
    <row r="30" spans="1:5" ht="12.75">
      <c r="A30" s="241" t="s">
        <v>283</v>
      </c>
      <c r="B30" s="233"/>
      <c r="C30" s="233"/>
      <c r="D30" s="233"/>
      <c r="E30" s="241"/>
    </row>
    <row r="33" ht="12.75">
      <c r="A33" t="s">
        <v>337</v>
      </c>
    </row>
    <row r="34" ht="12.75">
      <c r="A34" t="s">
        <v>338</v>
      </c>
    </row>
    <row r="51" ht="12.75">
      <c r="D51" s="204"/>
    </row>
  </sheetData>
  <sheetProtection/>
  <mergeCells count="1">
    <mergeCell ref="A2:G2"/>
  </mergeCells>
  <printOptions horizontalCentered="1"/>
  <pageMargins left="0.92" right="0.75" top="1" bottom="1" header="0.5" footer="0.5"/>
  <pageSetup horizontalDpi="600" verticalDpi="600" orientation="portrait" scale="83" r:id="rId1"/>
  <headerFooter alignWithMargins="0">
    <oddHeader>&amp;C&amp;"Arial,Bold"&amp;12TABLE B-24
COMBUSTION EMISSIONS ASSOCIATED WITH THE NEW HEATER  AND BOILER 
</oddHeader>
    <oddFooter>&amp;LN:\\2185\Combustion Emissions EIR.xls&amp;C&amp;12B-26&amp;R&amp;D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G34"/>
  <sheetViews>
    <sheetView zoomScaleSheetLayoutView="100" zoomScalePageLayoutView="0" workbookViewId="0" topLeftCell="A12">
      <selection activeCell="D13" sqref="D12:D13"/>
    </sheetView>
  </sheetViews>
  <sheetFormatPr defaultColWidth="9.140625" defaultRowHeight="12.75"/>
  <cols>
    <col min="1" max="1" width="12.421875" style="0" customWidth="1"/>
    <col min="2" max="2" width="15.140625" style="0" customWidth="1"/>
    <col min="3" max="3" width="15.7109375" style="0" customWidth="1"/>
    <col min="4" max="4" width="12.421875" style="0" customWidth="1"/>
    <col min="5" max="5" width="12.28125" style="0" customWidth="1"/>
    <col min="6" max="6" width="15.140625" style="0" customWidth="1"/>
    <col min="7" max="7" width="14.57421875" style="0" customWidth="1"/>
  </cols>
  <sheetData>
    <row r="2" spans="1:7" ht="12.75">
      <c r="A2" s="348" t="s">
        <v>289</v>
      </c>
      <c r="B2" s="348"/>
      <c r="C2" s="348"/>
      <c r="D2" s="348"/>
      <c r="E2" s="348"/>
      <c r="F2" s="357"/>
      <c r="G2" s="357"/>
    </row>
    <row r="3" spans="1:5" ht="12.75">
      <c r="A3" s="204"/>
      <c r="B3" s="204"/>
      <c r="C3" s="204"/>
      <c r="D3" s="204"/>
      <c r="E3" s="204"/>
    </row>
    <row r="4" spans="1:5" ht="12.75">
      <c r="A4" s="204"/>
      <c r="B4" s="204" t="s">
        <v>290</v>
      </c>
      <c r="C4" s="204"/>
      <c r="D4" s="230"/>
      <c r="E4" s="204"/>
    </row>
    <row r="5" spans="1:5" ht="12.75">
      <c r="A5" s="231" t="s">
        <v>275</v>
      </c>
      <c r="B5" s="204">
        <v>350</v>
      </c>
      <c r="C5" s="204"/>
      <c r="D5" s="232"/>
      <c r="E5" s="204"/>
    </row>
    <row r="6" spans="1:5" ht="12.75">
      <c r="A6" s="231" t="s">
        <v>276</v>
      </c>
      <c r="B6" s="204">
        <v>24</v>
      </c>
      <c r="C6" s="204"/>
      <c r="D6" s="204"/>
      <c r="E6" s="204"/>
    </row>
    <row r="7" spans="1:5" ht="12.75">
      <c r="A7" s="231" t="s">
        <v>335</v>
      </c>
      <c r="B7" s="204">
        <v>1400</v>
      </c>
      <c r="C7" s="204"/>
      <c r="D7" s="204"/>
      <c r="E7" s="204"/>
    </row>
    <row r="8" spans="1:5" ht="12.75">
      <c r="A8" s="231" t="s">
        <v>336</v>
      </c>
      <c r="B8" s="233">
        <f>+B5*B6/B7</f>
        <v>6</v>
      </c>
      <c r="C8" s="233"/>
      <c r="D8" s="233"/>
      <c r="E8" s="204"/>
    </row>
    <row r="9" spans="1:5" ht="12.75">
      <c r="A9" s="231"/>
      <c r="B9" s="233"/>
      <c r="C9" s="233"/>
      <c r="D9" s="233"/>
      <c r="E9" s="204"/>
    </row>
    <row r="10" spans="1:5" ht="15.75" thickBot="1">
      <c r="A10" s="234" t="s">
        <v>285</v>
      </c>
      <c r="E10" s="234" t="s">
        <v>286</v>
      </c>
    </row>
    <row r="11" spans="1:7" ht="40.5" thickBot="1" thickTop="1">
      <c r="A11" s="235" t="s">
        <v>277</v>
      </c>
      <c r="B11" s="236" t="s">
        <v>278</v>
      </c>
      <c r="C11" s="236" t="s">
        <v>279</v>
      </c>
      <c r="E11" s="235" t="s">
        <v>277</v>
      </c>
      <c r="F11" s="236" t="s">
        <v>278</v>
      </c>
      <c r="G11" s="236" t="s">
        <v>279</v>
      </c>
    </row>
    <row r="12" spans="1:7" ht="13.5" thickTop="1">
      <c r="A12" s="220" t="s">
        <v>0</v>
      </c>
      <c r="B12" s="220">
        <v>40</v>
      </c>
      <c r="C12" s="237">
        <f>+B8*B12</f>
        <v>240</v>
      </c>
      <c r="E12" s="220" t="s">
        <v>0</v>
      </c>
      <c r="F12" s="220">
        <v>40</v>
      </c>
      <c r="G12" s="238">
        <f>+B8*F12/24</f>
        <v>10</v>
      </c>
    </row>
    <row r="13" spans="1:7" ht="12.75">
      <c r="A13" s="16" t="s">
        <v>1</v>
      </c>
      <c r="B13" s="16">
        <v>7</v>
      </c>
      <c r="C13" s="24">
        <f>+B8*B13</f>
        <v>42</v>
      </c>
      <c r="E13" s="16" t="s">
        <v>1</v>
      </c>
      <c r="F13" s="16">
        <v>7</v>
      </c>
      <c r="G13" s="24">
        <f>+B8*F13/24</f>
        <v>1.75</v>
      </c>
    </row>
    <row r="14" spans="1:7" ht="15">
      <c r="A14" s="16" t="s">
        <v>287</v>
      </c>
      <c r="B14" s="16">
        <v>15.31</v>
      </c>
      <c r="C14" s="24">
        <f>+B8*B14</f>
        <v>91.86</v>
      </c>
      <c r="E14" s="16" t="s">
        <v>2</v>
      </c>
      <c r="F14" s="16">
        <v>15.31</v>
      </c>
      <c r="G14" s="24">
        <f>+B8*F14/24</f>
        <v>3.8275</v>
      </c>
    </row>
    <row r="15" spans="1:7" ht="12.75">
      <c r="A15" s="16" t="s">
        <v>6</v>
      </c>
      <c r="B15" s="16">
        <v>16.9</v>
      </c>
      <c r="C15" s="24">
        <f>+B8*B15</f>
        <v>101.39999999999999</v>
      </c>
      <c r="E15" s="16" t="s">
        <v>6</v>
      </c>
      <c r="F15" s="16">
        <v>16.9</v>
      </c>
      <c r="G15" s="24">
        <f>+B8*F15/24</f>
        <v>4.225</v>
      </c>
    </row>
    <row r="16" spans="1:7" ht="12.75">
      <c r="A16" s="16" t="s">
        <v>3</v>
      </c>
      <c r="B16" s="16">
        <v>21</v>
      </c>
      <c r="C16" s="24">
        <f>+B8*B16</f>
        <v>126</v>
      </c>
      <c r="E16" s="16" t="s">
        <v>3</v>
      </c>
      <c r="F16" s="16">
        <v>21</v>
      </c>
      <c r="G16" s="24">
        <f>+B8*F16/24</f>
        <v>5.25</v>
      </c>
    </row>
    <row r="17" spans="1:7" ht="12.75">
      <c r="A17" s="239" t="s">
        <v>281</v>
      </c>
      <c r="B17" s="239">
        <v>12.6</v>
      </c>
      <c r="C17" s="240">
        <f>+B8*B17</f>
        <v>75.6</v>
      </c>
      <c r="E17" s="239" t="s">
        <v>281</v>
      </c>
      <c r="F17" s="239">
        <v>12.6</v>
      </c>
      <c r="G17" s="24">
        <f>+B8*F17/24</f>
        <v>3.15</v>
      </c>
    </row>
    <row r="18" spans="1:5" ht="12.75">
      <c r="A18" s="241" t="s">
        <v>282</v>
      </c>
      <c r="E18" s="241" t="s">
        <v>282</v>
      </c>
    </row>
    <row r="19" spans="1:5" ht="12.75">
      <c r="A19" s="241" t="s">
        <v>283</v>
      </c>
      <c r="E19" s="241" t="s">
        <v>283</v>
      </c>
    </row>
    <row r="20" spans="1:7" ht="12.75">
      <c r="A20" s="241"/>
      <c r="B20" s="20"/>
      <c r="C20" s="242"/>
      <c r="D20" s="233"/>
      <c r="E20" s="20"/>
      <c r="F20" s="20"/>
      <c r="G20" s="242"/>
    </row>
    <row r="21" spans="1:7" ht="15.75" thickBot="1">
      <c r="A21" s="234" t="s">
        <v>288</v>
      </c>
      <c r="B21" s="233"/>
      <c r="C21" s="233"/>
      <c r="D21" s="233"/>
      <c r="E21" s="20"/>
      <c r="F21" s="20"/>
      <c r="G21" s="242"/>
    </row>
    <row r="22" spans="1:7" ht="40.5" thickBot="1" thickTop="1">
      <c r="A22" s="235" t="s">
        <v>277</v>
      </c>
      <c r="B22" s="236" t="s">
        <v>278</v>
      </c>
      <c r="C22" s="236" t="s">
        <v>284</v>
      </c>
      <c r="D22" s="233"/>
      <c r="E22" s="20"/>
      <c r="F22" s="20"/>
      <c r="G22" s="242"/>
    </row>
    <row r="23" spans="1:7" ht="13.5" thickTop="1">
      <c r="A23" s="220" t="s">
        <v>0</v>
      </c>
      <c r="B23" s="220">
        <v>40</v>
      </c>
      <c r="C23" s="238">
        <f>+$B8*B23*30</f>
        <v>7200</v>
      </c>
      <c r="D23" s="233"/>
      <c r="E23" s="20"/>
      <c r="F23" s="20"/>
      <c r="G23" s="242"/>
    </row>
    <row r="24" spans="1:7" ht="12.75">
      <c r="A24" s="16" t="s">
        <v>1</v>
      </c>
      <c r="B24" s="16">
        <v>7</v>
      </c>
      <c r="C24" s="240">
        <f>+$B8*B24*30</f>
        <v>1260</v>
      </c>
      <c r="D24" s="233"/>
      <c r="E24" s="20"/>
      <c r="F24" s="20"/>
      <c r="G24" s="242"/>
    </row>
    <row r="25" spans="1:7" ht="12.75">
      <c r="A25" s="16" t="s">
        <v>2</v>
      </c>
      <c r="B25" s="16">
        <v>15.31</v>
      </c>
      <c r="C25" s="24">
        <f>+$B8*B25*30</f>
        <v>2755.8</v>
      </c>
      <c r="D25" s="233"/>
      <c r="E25" s="20"/>
      <c r="F25" s="20"/>
      <c r="G25" s="242"/>
    </row>
    <row r="26" spans="1:7" ht="12.75">
      <c r="A26" s="16" t="s">
        <v>6</v>
      </c>
      <c r="B26" s="16">
        <v>16.9</v>
      </c>
      <c r="C26" s="24">
        <f>+$B8*B26*30</f>
        <v>3041.9999999999995</v>
      </c>
      <c r="D26" s="233"/>
      <c r="E26" s="20"/>
      <c r="F26" s="20"/>
      <c r="G26" s="242"/>
    </row>
    <row r="27" spans="1:7" ht="12.75">
      <c r="A27" s="16" t="s">
        <v>3</v>
      </c>
      <c r="B27" s="16">
        <v>21</v>
      </c>
      <c r="C27" s="24">
        <f>+$B8*B27*30</f>
        <v>3780</v>
      </c>
      <c r="D27" s="233"/>
      <c r="E27" s="20"/>
      <c r="F27" s="20"/>
      <c r="G27" s="242"/>
    </row>
    <row r="28" spans="1:7" ht="12.75">
      <c r="A28" s="239" t="s">
        <v>281</v>
      </c>
      <c r="B28" s="239">
        <v>12.6</v>
      </c>
      <c r="C28" s="24">
        <f>+$B8*B28*30</f>
        <v>2268</v>
      </c>
      <c r="D28" s="233"/>
      <c r="E28" s="20"/>
      <c r="F28" s="20"/>
      <c r="G28" s="242"/>
    </row>
    <row r="29" spans="1:7" ht="12.75">
      <c r="A29" s="241" t="s">
        <v>282</v>
      </c>
      <c r="B29" s="233"/>
      <c r="C29" s="233"/>
      <c r="D29" s="233"/>
      <c r="E29" s="20"/>
      <c r="F29" s="20"/>
      <c r="G29" s="242"/>
    </row>
    <row r="30" spans="1:7" ht="12.75">
      <c r="A30" s="241" t="s">
        <v>283</v>
      </c>
      <c r="B30" s="233"/>
      <c r="C30" s="233"/>
      <c r="D30" s="233"/>
      <c r="E30" s="20"/>
      <c r="F30" s="20"/>
      <c r="G30" s="242"/>
    </row>
    <row r="33" ht="12.75">
      <c r="A33" t="s">
        <v>337</v>
      </c>
    </row>
    <row r="34" ht="12.75">
      <c r="A34" t="s">
        <v>338</v>
      </c>
    </row>
  </sheetData>
  <sheetProtection/>
  <mergeCells count="1">
    <mergeCell ref="A2:G2"/>
  </mergeCells>
  <printOptions horizontalCentered="1"/>
  <pageMargins left="0.92" right="0.75" top="1" bottom="1" header="0.5" footer="0.5"/>
  <pageSetup horizontalDpi="600" verticalDpi="600" orientation="portrait" scale="83" r:id="rId1"/>
  <headerFooter alignWithMargins="0">
    <oddHeader>&amp;C&amp;"Arial,Bold"&amp;12TABLE B-25
COMBUSTION EMISSIONS ASSOCIATED WITH THE NEW HEATER  AND BOILER 
</oddHeader>
    <oddFooter>&amp;LN:\\2185\Combustion Emissions EIR.xls&amp;C&amp;12B-27&amp;R&amp;D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12.421875" style="0" customWidth="1"/>
    <col min="2" max="2" width="15.140625" style="0" customWidth="1"/>
    <col min="3" max="3" width="15.7109375" style="0" customWidth="1"/>
    <col min="4" max="4" width="12.421875" style="0" customWidth="1"/>
    <col min="5" max="5" width="12.28125" style="0" customWidth="1"/>
    <col min="6" max="6" width="15.140625" style="0" customWidth="1"/>
    <col min="7" max="7" width="14.57421875" style="0" customWidth="1"/>
  </cols>
  <sheetData>
    <row r="1" spans="1:7" ht="12.75">
      <c r="A1" s="348" t="s">
        <v>291</v>
      </c>
      <c r="B1" s="348"/>
      <c r="C1" s="348"/>
      <c r="D1" s="348"/>
      <c r="E1" s="348"/>
      <c r="F1" s="357"/>
      <c r="G1" s="357"/>
    </row>
    <row r="2" spans="1:5" ht="12.75">
      <c r="A2" s="204"/>
      <c r="B2" s="204"/>
      <c r="C2" s="204"/>
      <c r="D2" s="204"/>
      <c r="E2" s="204"/>
    </row>
    <row r="3" spans="1:5" ht="12.75">
      <c r="A3" s="204"/>
      <c r="B3" s="204"/>
      <c r="C3" s="204"/>
      <c r="D3" s="230"/>
      <c r="E3" s="204"/>
    </row>
    <row r="4" spans="1:5" ht="12.75">
      <c r="A4" s="234" t="s">
        <v>292</v>
      </c>
      <c r="B4" s="204"/>
      <c r="C4" s="204"/>
      <c r="D4" s="230"/>
      <c r="E4" s="204"/>
    </row>
    <row r="5" spans="1:5" ht="12.75">
      <c r="A5" s="231" t="s">
        <v>276</v>
      </c>
      <c r="B5" s="204">
        <v>24</v>
      </c>
      <c r="C5" s="204"/>
      <c r="D5" s="204"/>
      <c r="E5" s="204"/>
    </row>
    <row r="6" spans="1:5" ht="12.75">
      <c r="A6" s="231" t="s">
        <v>335</v>
      </c>
      <c r="B6" s="204" t="s">
        <v>5</v>
      </c>
      <c r="C6" s="204"/>
      <c r="D6" s="204"/>
      <c r="E6" s="204"/>
    </row>
    <row r="7" spans="1:5" ht="12.75">
      <c r="A7" s="231" t="s">
        <v>339</v>
      </c>
      <c r="B7" s="233">
        <v>0.0058</v>
      </c>
      <c r="C7" s="233"/>
      <c r="D7" s="233"/>
      <c r="E7" s="204"/>
    </row>
    <row r="8" spans="1:5" ht="12.75">
      <c r="A8" s="231" t="s">
        <v>336</v>
      </c>
      <c r="B8" s="233">
        <f>+B7*24</f>
        <v>0.1392</v>
      </c>
      <c r="C8" s="233"/>
      <c r="D8" s="233"/>
      <c r="E8" s="204"/>
    </row>
    <row r="9" spans="1:5" ht="12.75">
      <c r="A9" s="231"/>
      <c r="B9" s="233"/>
      <c r="C9" s="233"/>
      <c r="D9" s="233"/>
      <c r="E9" s="204"/>
    </row>
    <row r="10" spans="1:7" ht="15.75" thickBot="1">
      <c r="A10" s="234" t="s">
        <v>297</v>
      </c>
      <c r="B10" s="233"/>
      <c r="C10" s="233"/>
      <c r="D10" s="233"/>
      <c r="E10" s="234" t="s">
        <v>298</v>
      </c>
      <c r="F10" s="233"/>
      <c r="G10" s="233"/>
    </row>
    <row r="11" spans="1:7" ht="40.5" thickBot="1" thickTop="1">
      <c r="A11" s="235" t="s">
        <v>277</v>
      </c>
      <c r="B11" s="236" t="s">
        <v>278</v>
      </c>
      <c r="C11" s="236" t="s">
        <v>293</v>
      </c>
      <c r="D11" s="233"/>
      <c r="E11" s="235" t="s">
        <v>277</v>
      </c>
      <c r="F11" s="236" t="s">
        <v>278</v>
      </c>
      <c r="G11" s="236" t="s">
        <v>294</v>
      </c>
    </row>
    <row r="12" spans="1:7" ht="13.5" thickTop="1">
      <c r="A12" s="220" t="s">
        <v>0</v>
      </c>
      <c r="B12" s="220">
        <v>35</v>
      </c>
      <c r="C12" s="238">
        <f>+B7*B12</f>
        <v>0.20299999999999999</v>
      </c>
      <c r="D12" s="233"/>
      <c r="E12" s="220" t="s">
        <v>0</v>
      </c>
      <c r="F12" s="220">
        <v>35</v>
      </c>
      <c r="G12" s="238">
        <f>+B7*F12/24</f>
        <v>0.008458333333333333</v>
      </c>
    </row>
    <row r="13" spans="1:7" ht="12.75">
      <c r="A13" s="16" t="s">
        <v>1</v>
      </c>
      <c r="B13" s="16">
        <v>7</v>
      </c>
      <c r="C13" s="24">
        <f>+B7*B13</f>
        <v>0.0406</v>
      </c>
      <c r="D13" s="233"/>
      <c r="E13" s="16" t="s">
        <v>1</v>
      </c>
      <c r="F13" s="16">
        <v>7</v>
      </c>
      <c r="G13" s="24">
        <f>+B7*F13/24</f>
        <v>0.0016916666666666666</v>
      </c>
    </row>
    <row r="14" spans="1:7" ht="12.75">
      <c r="A14" s="16" t="s">
        <v>2</v>
      </c>
      <c r="B14" s="16">
        <v>130</v>
      </c>
      <c r="C14" s="24">
        <f>+B7*B14</f>
        <v>0.754</v>
      </c>
      <c r="D14" s="233"/>
      <c r="E14" s="16" t="s">
        <v>2</v>
      </c>
      <c r="F14" s="16">
        <v>130</v>
      </c>
      <c r="G14" s="24">
        <f>+B7*F14/24</f>
        <v>0.03141666666666667</v>
      </c>
    </row>
    <row r="15" spans="1:7" ht="12.75">
      <c r="A15" s="16" t="s">
        <v>6</v>
      </c>
      <c r="B15" s="16">
        <v>0.83</v>
      </c>
      <c r="C15" s="24">
        <f>+B7*B15</f>
        <v>0.004814</v>
      </c>
      <c r="D15" s="233"/>
      <c r="E15" s="16" t="s">
        <v>6</v>
      </c>
      <c r="F15" s="16">
        <v>0.83</v>
      </c>
      <c r="G15" s="24">
        <f>+B7*F15/24</f>
        <v>0.00020058333333333332</v>
      </c>
    </row>
    <row r="16" spans="1:7" ht="12.75">
      <c r="A16" s="16" t="s">
        <v>3</v>
      </c>
      <c r="B16" s="16">
        <v>7.5</v>
      </c>
      <c r="C16" s="24">
        <f>+B7*B16</f>
        <v>0.0435</v>
      </c>
      <c r="D16" s="233"/>
      <c r="E16" s="16" t="s">
        <v>3</v>
      </c>
      <c r="F16" s="16">
        <v>7.5</v>
      </c>
      <c r="G16" s="24">
        <f>+B7*F16/24</f>
        <v>0.0018124999999999999</v>
      </c>
    </row>
    <row r="17" spans="1:7" ht="12.75">
      <c r="A17" s="241" t="s">
        <v>295</v>
      </c>
      <c r="B17" s="20"/>
      <c r="C17" s="242"/>
      <c r="D17" s="233"/>
      <c r="E17" s="241" t="s">
        <v>295</v>
      </c>
      <c r="F17" s="20"/>
      <c r="G17" s="242"/>
    </row>
    <row r="18" spans="1:7" ht="12.75">
      <c r="A18" s="241"/>
      <c r="B18" s="20"/>
      <c r="C18" s="242"/>
      <c r="D18" s="233"/>
      <c r="E18" s="20"/>
      <c r="F18" s="20"/>
      <c r="G18" s="242"/>
    </row>
    <row r="19" spans="1:7" ht="15.75" thickBot="1">
      <c r="A19" s="234" t="s">
        <v>299</v>
      </c>
      <c r="B19" s="233"/>
      <c r="C19" s="233"/>
      <c r="D19" s="233"/>
      <c r="E19" s="20"/>
      <c r="F19" s="20"/>
      <c r="G19" s="242"/>
    </row>
    <row r="20" spans="1:7" ht="40.5" thickBot="1" thickTop="1">
      <c r="A20" s="235" t="s">
        <v>277</v>
      </c>
      <c r="B20" s="236" t="s">
        <v>278</v>
      </c>
      <c r="C20" s="236" t="s">
        <v>293</v>
      </c>
      <c r="D20" s="233"/>
      <c r="E20" s="20"/>
      <c r="F20" s="20"/>
      <c r="G20" s="242"/>
    </row>
    <row r="21" spans="1:7" ht="13.5" thickTop="1">
      <c r="A21" s="220" t="s">
        <v>0</v>
      </c>
      <c r="B21" s="220">
        <v>35</v>
      </c>
      <c r="C21" s="238">
        <f>+B7*B21*30</f>
        <v>6.09</v>
      </c>
      <c r="D21" s="233"/>
      <c r="E21" s="20"/>
      <c r="F21" s="20"/>
      <c r="G21" s="242"/>
    </row>
    <row r="22" spans="1:7" ht="12.75">
      <c r="A22" s="16" t="s">
        <v>1</v>
      </c>
      <c r="B22" s="16">
        <v>7</v>
      </c>
      <c r="C22" s="24">
        <f>+B7*B22*30</f>
        <v>1.218</v>
      </c>
      <c r="D22" s="233"/>
      <c r="E22" s="20"/>
      <c r="F22" s="20"/>
      <c r="G22" s="242"/>
    </row>
    <row r="23" spans="1:7" ht="12.75">
      <c r="A23" s="16" t="s">
        <v>2</v>
      </c>
      <c r="B23" s="16">
        <v>130</v>
      </c>
      <c r="C23" s="24">
        <f>+B7*B23*30</f>
        <v>22.62</v>
      </c>
      <c r="D23" s="233"/>
      <c r="E23" s="20"/>
      <c r="F23" s="20"/>
      <c r="G23" s="242"/>
    </row>
    <row r="24" spans="1:7" ht="12.75">
      <c r="A24" s="16" t="s">
        <v>6</v>
      </c>
      <c r="B24" s="16">
        <v>0.83</v>
      </c>
      <c r="C24" s="24">
        <f>+B7*B24*30</f>
        <v>0.14442</v>
      </c>
      <c r="D24" s="233"/>
      <c r="E24" s="20"/>
      <c r="F24" s="20"/>
      <c r="G24" s="242"/>
    </row>
    <row r="25" spans="1:7" ht="12.75">
      <c r="A25" s="16" t="s">
        <v>3</v>
      </c>
      <c r="B25" s="16">
        <v>7.5</v>
      </c>
      <c r="C25" s="24">
        <f>+B7*B25*30</f>
        <v>1.305</v>
      </c>
      <c r="D25" s="233"/>
      <c r="E25" s="20"/>
      <c r="F25" s="20"/>
      <c r="G25" s="242"/>
    </row>
    <row r="26" spans="1:7" ht="12.75">
      <c r="A26" s="241" t="s">
        <v>296</v>
      </c>
      <c r="B26" s="233"/>
      <c r="C26" s="233"/>
      <c r="D26" s="233"/>
      <c r="E26" s="20"/>
      <c r="F26" s="20"/>
      <c r="G26" s="242"/>
    </row>
    <row r="29" ht="12.75">
      <c r="A29" t="s">
        <v>337</v>
      </c>
    </row>
    <row r="30" ht="12.75">
      <c r="A30" t="s">
        <v>338</v>
      </c>
    </row>
  </sheetData>
  <sheetProtection/>
  <mergeCells count="1">
    <mergeCell ref="A1:G1"/>
  </mergeCells>
  <printOptions horizontalCentered="1"/>
  <pageMargins left="0.92" right="0.75" top="1" bottom="1" header="0.5" footer="0.5"/>
  <pageSetup horizontalDpi="600" verticalDpi="600" orientation="portrait" scale="83" r:id="rId1"/>
  <headerFooter alignWithMargins="0">
    <oddHeader>&amp;C&amp;"Arial,Bold"&amp;12TABLE B-26
COMBUSTION EMISSIONS ASSOCIATED WITH THE NEW FLARE 
</oddHeader>
    <oddFooter>&amp;LN:\\2185.Combustion Emissions EIR.xls&amp;C&amp;12B-28&amp;R&amp;D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0" customWidth="1"/>
    <col min="2" max="2" width="15.140625" style="0" customWidth="1"/>
    <col min="3" max="3" width="15.7109375" style="0" customWidth="1"/>
    <col min="4" max="4" width="12.421875" style="0" customWidth="1"/>
    <col min="5" max="5" width="12.28125" style="0" customWidth="1"/>
    <col min="6" max="6" width="15.140625" style="0" customWidth="1"/>
    <col min="7" max="7" width="14.57421875" style="0" customWidth="1"/>
  </cols>
  <sheetData>
    <row r="1" spans="1:5" ht="12.75">
      <c r="A1" s="204"/>
      <c r="B1" s="204"/>
      <c r="C1" s="204"/>
      <c r="D1" s="204"/>
      <c r="E1" s="204"/>
    </row>
    <row r="2" spans="1:5" ht="12.75">
      <c r="A2" s="204"/>
      <c r="B2" s="204" t="s">
        <v>300</v>
      </c>
      <c r="C2" s="204"/>
      <c r="D2" s="230"/>
      <c r="E2" s="204"/>
    </row>
    <row r="3" spans="1:5" ht="12.75">
      <c r="A3" s="231" t="s">
        <v>275</v>
      </c>
      <c r="B3" s="204">
        <v>60</v>
      </c>
      <c r="C3" s="204"/>
      <c r="D3" s="232"/>
      <c r="E3" s="204"/>
    </row>
    <row r="4" spans="1:5" ht="12.75">
      <c r="A4" s="231" t="s">
        <v>276</v>
      </c>
      <c r="B4" s="204">
        <v>24</v>
      </c>
      <c r="C4" s="204"/>
      <c r="D4" s="204"/>
      <c r="E4" s="204"/>
    </row>
    <row r="5" spans="1:5" ht="12.75">
      <c r="A5" s="231" t="s">
        <v>335</v>
      </c>
      <c r="B5" s="204">
        <v>1400</v>
      </c>
      <c r="C5" s="204"/>
      <c r="D5" s="204"/>
      <c r="E5" s="204"/>
    </row>
    <row r="6" spans="1:5" ht="12.75">
      <c r="A6" s="231" t="s">
        <v>336</v>
      </c>
      <c r="B6" s="233">
        <f>+B3*B4/B5</f>
        <v>1.0285714285714285</v>
      </c>
      <c r="C6" s="233"/>
      <c r="D6" s="233"/>
      <c r="E6" s="204"/>
    </row>
    <row r="7" spans="1:5" ht="12.75">
      <c r="A7" s="231"/>
      <c r="B7" s="233"/>
      <c r="C7" s="233"/>
      <c r="D7" s="233"/>
      <c r="E7" s="204"/>
    </row>
    <row r="8" spans="1:5" ht="15.75" thickBot="1">
      <c r="A8" s="234" t="s">
        <v>302</v>
      </c>
      <c r="E8" s="234" t="s">
        <v>303</v>
      </c>
    </row>
    <row r="9" spans="1:7" ht="40.5" thickBot="1" thickTop="1">
      <c r="A9" s="235" t="s">
        <v>277</v>
      </c>
      <c r="B9" s="236" t="s">
        <v>278</v>
      </c>
      <c r="C9" s="236" t="s">
        <v>279</v>
      </c>
      <c r="E9" s="235" t="s">
        <v>277</v>
      </c>
      <c r="F9" s="236" t="s">
        <v>278</v>
      </c>
      <c r="G9" s="236" t="s">
        <v>280</v>
      </c>
    </row>
    <row r="10" spans="1:7" ht="13.5" thickTop="1">
      <c r="A10" s="220" t="s">
        <v>0</v>
      </c>
      <c r="B10" s="220">
        <v>40</v>
      </c>
      <c r="C10" s="237">
        <f>+B6*B10</f>
        <v>41.14285714285714</v>
      </c>
      <c r="E10" s="220" t="s">
        <v>0</v>
      </c>
      <c r="F10" s="220">
        <v>40</v>
      </c>
      <c r="G10" s="238">
        <f>+B6*F10/24</f>
        <v>1.7142857142857142</v>
      </c>
    </row>
    <row r="11" spans="1:7" ht="12.75">
      <c r="A11" s="16" t="s">
        <v>1</v>
      </c>
      <c r="B11" s="16">
        <v>7</v>
      </c>
      <c r="C11" s="24">
        <f>+B6*B11</f>
        <v>7.199999999999999</v>
      </c>
      <c r="E11" s="16" t="s">
        <v>1</v>
      </c>
      <c r="F11" s="16">
        <v>7</v>
      </c>
      <c r="G11" s="24">
        <f>+B6*F11/24</f>
        <v>0.3</v>
      </c>
    </row>
    <row r="12" spans="1:7" ht="12.75">
      <c r="A12" s="16" t="s">
        <v>6</v>
      </c>
      <c r="B12" s="16">
        <v>16.9</v>
      </c>
      <c r="C12" s="24">
        <f>+B6*B12</f>
        <v>17.38285714285714</v>
      </c>
      <c r="E12" s="16" t="s">
        <v>6</v>
      </c>
      <c r="F12" s="16">
        <v>16.9</v>
      </c>
      <c r="G12" s="24">
        <f>+B6*F12/24</f>
        <v>0.7242857142857142</v>
      </c>
    </row>
    <row r="13" spans="1:7" ht="12.75">
      <c r="A13" s="16" t="s">
        <v>3</v>
      </c>
      <c r="B13" s="16">
        <v>21</v>
      </c>
      <c r="C13" s="24">
        <f>+B6*B13</f>
        <v>21.599999999999998</v>
      </c>
      <c r="E13" s="16" t="s">
        <v>3</v>
      </c>
      <c r="F13" s="16">
        <v>21</v>
      </c>
      <c r="G13" s="24">
        <f>+B6*F13/24</f>
        <v>0.8999999999999999</v>
      </c>
    </row>
    <row r="14" spans="1:7" ht="12.75">
      <c r="A14" s="239" t="s">
        <v>281</v>
      </c>
      <c r="B14" s="239">
        <v>12.6</v>
      </c>
      <c r="C14" s="240">
        <f>+B6*B14</f>
        <v>12.959999999999999</v>
      </c>
      <c r="E14" s="239" t="s">
        <v>281</v>
      </c>
      <c r="F14" s="239">
        <v>12.6</v>
      </c>
      <c r="G14" s="24">
        <f>+B6*F14/24</f>
        <v>0.5399999999999999</v>
      </c>
    </row>
    <row r="15" spans="1:7" ht="12.75">
      <c r="A15" s="358" t="s">
        <v>301</v>
      </c>
      <c r="B15" s="358"/>
      <c r="C15" s="358"/>
      <c r="E15" s="358" t="s">
        <v>301</v>
      </c>
      <c r="F15" s="358"/>
      <c r="G15" s="358"/>
    </row>
    <row r="16" spans="1:7" ht="12.75">
      <c r="A16" s="359"/>
      <c r="B16" s="359"/>
      <c r="C16" s="359"/>
      <c r="E16" s="359"/>
      <c r="F16" s="359"/>
      <c r="G16" s="359"/>
    </row>
    <row r="17" spans="1:5" ht="12.75">
      <c r="A17" s="243"/>
      <c r="B17" s="243"/>
      <c r="C17" s="243"/>
      <c r="E17" s="241"/>
    </row>
    <row r="18" spans="1:5" ht="15.75" thickBot="1">
      <c r="A18" s="234" t="s">
        <v>288</v>
      </c>
      <c r="B18" s="233"/>
      <c r="C18" s="233"/>
      <c r="D18" s="233"/>
      <c r="E18" s="241"/>
    </row>
    <row r="19" spans="1:5" ht="40.5" thickBot="1" thickTop="1">
      <c r="A19" s="235" t="s">
        <v>277</v>
      </c>
      <c r="B19" s="236" t="s">
        <v>278</v>
      </c>
      <c r="C19" s="236" t="s">
        <v>284</v>
      </c>
      <c r="D19" s="233"/>
      <c r="E19" s="241"/>
    </row>
    <row r="20" spans="1:5" ht="13.5" thickTop="1">
      <c r="A20" s="220" t="s">
        <v>0</v>
      </c>
      <c r="B20" s="220">
        <v>40</v>
      </c>
      <c r="C20" s="238">
        <f>+$B6*B20*30</f>
        <v>1234.2857142857142</v>
      </c>
      <c r="D20" s="233"/>
      <c r="E20" s="241"/>
    </row>
    <row r="21" spans="1:5" ht="12.75">
      <c r="A21" s="16" t="s">
        <v>1</v>
      </c>
      <c r="B21" s="16">
        <v>7</v>
      </c>
      <c r="C21" s="240">
        <f>+$B6*B21*30</f>
        <v>215.99999999999997</v>
      </c>
      <c r="D21" s="233"/>
      <c r="E21" s="241"/>
    </row>
    <row r="22" spans="1:5" ht="12.75">
      <c r="A22" s="16" t="s">
        <v>6</v>
      </c>
      <c r="B22" s="16">
        <v>16.9</v>
      </c>
      <c r="C22" s="24">
        <f>+$B6*B22*30</f>
        <v>521.4857142857143</v>
      </c>
      <c r="D22" s="233"/>
      <c r="E22" s="241"/>
    </row>
    <row r="23" spans="1:5" ht="12.75">
      <c r="A23" s="16" t="s">
        <v>3</v>
      </c>
      <c r="B23" s="16">
        <v>21</v>
      </c>
      <c r="C23" s="24">
        <f>+$B6*B23*30</f>
        <v>647.9999999999999</v>
      </c>
      <c r="D23" s="233"/>
      <c r="E23" s="241"/>
    </row>
    <row r="24" spans="1:5" ht="12.75">
      <c r="A24" s="239" t="s">
        <v>281</v>
      </c>
      <c r="B24" s="239">
        <v>12.6</v>
      </c>
      <c r="C24" s="24">
        <f>+$B6*B24</f>
        <v>12.959999999999999</v>
      </c>
      <c r="D24" s="233"/>
      <c r="E24" s="241"/>
    </row>
    <row r="25" spans="1:5" ht="12.75">
      <c r="A25" s="358" t="s">
        <v>301</v>
      </c>
      <c r="B25" s="358"/>
      <c r="C25" s="358"/>
      <c r="D25" s="233"/>
      <c r="E25" s="241"/>
    </row>
    <row r="26" spans="1:5" ht="12.75">
      <c r="A26" s="359"/>
      <c r="B26" s="359"/>
      <c r="C26" s="359"/>
      <c r="D26" s="233"/>
      <c r="E26" s="241"/>
    </row>
    <row r="27" ht="12.75">
      <c r="A27" s="13"/>
    </row>
    <row r="28" spans="1:4" ht="12.75">
      <c r="A28" s="13"/>
      <c r="D28" s="57"/>
    </row>
    <row r="29" ht="12.75">
      <c r="A29" t="s">
        <v>337</v>
      </c>
    </row>
    <row r="30" ht="12.75">
      <c r="A30" t="s">
        <v>338</v>
      </c>
    </row>
  </sheetData>
  <sheetProtection/>
  <mergeCells count="3">
    <mergeCell ref="A15:C16"/>
    <mergeCell ref="E15:G16"/>
    <mergeCell ref="A25:C26"/>
  </mergeCells>
  <printOptions horizontalCentered="1"/>
  <pageMargins left="0.92" right="0.75" top="1" bottom="1" header="0.5" footer="0.5"/>
  <pageSetup horizontalDpi="600" verticalDpi="600" orientation="portrait" scale="83" r:id="rId1"/>
  <headerFooter alignWithMargins="0">
    <oddHeader>&amp;C&amp;"Arial,Bold"&amp;12 TABLE B-27
COMBUSTION EMISSIONS ASSOCIATED WITH THE MODIFIED HEATER 56-H-2 
</oddHeader>
    <oddFooter>&amp;LN:\\2185\Combustion Emissions EIR.xls&amp;C&amp;12B-29&amp;R&amp;D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29" sqref="B29"/>
    </sheetView>
  </sheetViews>
  <sheetFormatPr defaultColWidth="9.140625" defaultRowHeight="12.75"/>
  <cols>
    <col min="2" max="2" width="12.28125" style="0" customWidth="1"/>
    <col min="3" max="3" width="10.421875" style="0" customWidth="1"/>
    <col min="4" max="4" width="14.140625" style="0" customWidth="1"/>
    <col min="5" max="5" width="11.7109375" style="0" customWidth="1"/>
    <col min="8" max="8" width="9.8515625" style="0" customWidth="1"/>
  </cols>
  <sheetData>
    <row r="1" spans="1:5" ht="33" customHeight="1">
      <c r="A1" s="244" t="s">
        <v>277</v>
      </c>
      <c r="B1" s="244" t="s">
        <v>304</v>
      </c>
      <c r="C1" s="244" t="s">
        <v>305</v>
      </c>
      <c r="D1" s="244" t="s">
        <v>306</v>
      </c>
      <c r="E1" s="244" t="s">
        <v>308</v>
      </c>
    </row>
    <row r="2" spans="1:5" ht="12.75">
      <c r="A2" s="16" t="s">
        <v>0</v>
      </c>
      <c r="B2" s="16">
        <v>50</v>
      </c>
      <c r="C2" s="16">
        <v>28.01</v>
      </c>
      <c r="D2" s="16">
        <v>1400</v>
      </c>
      <c r="E2" s="24">
        <f>PRODUCT(B2,20.9/(20.9-3),1.195,10^-7,8710,D2,(C2/46.008))</f>
        <v>51.79133546649405</v>
      </c>
    </row>
    <row r="3" spans="1:5" ht="12.75">
      <c r="A3" s="16" t="s">
        <v>2</v>
      </c>
      <c r="B3" s="16">
        <v>9</v>
      </c>
      <c r="C3" s="16">
        <v>46.008</v>
      </c>
      <c r="D3" s="16">
        <v>1400</v>
      </c>
      <c r="E3" s="24">
        <f>PRODUCT(B3,20.9/(20.9-3),1.195,10^-7,8710,D3,(C3/46.008))</f>
        <v>15.312632530726257</v>
      </c>
    </row>
    <row r="4" spans="1:5" ht="12.75">
      <c r="A4" s="16" t="s">
        <v>281</v>
      </c>
      <c r="B4" s="16">
        <v>20</v>
      </c>
      <c r="C4" s="16">
        <v>17.03</v>
      </c>
      <c r="D4" s="16">
        <v>1400</v>
      </c>
      <c r="E4" s="24">
        <f>PRODUCT(B4,20.9/(20.9-3),1.195,10^-7,8710,D4,(C4/46.008))</f>
        <v>12.595593616485449</v>
      </c>
    </row>
    <row r="5" spans="1:5" ht="12.75">
      <c r="A5" s="16" t="s">
        <v>6</v>
      </c>
      <c r="B5" s="16">
        <v>100</v>
      </c>
      <c r="C5" s="16">
        <v>64.07</v>
      </c>
      <c r="D5" s="16">
        <v>1400</v>
      </c>
      <c r="E5" s="24">
        <f>PRODUCT(B5,20.9/(20.9-3),1.195,10^-7,8710,D5,(C5/46.008))</f>
        <v>236.9347278356496</v>
      </c>
    </row>
    <row r="7" spans="1:10" ht="12.75" customHeight="1">
      <c r="A7" s="360" t="s">
        <v>307</v>
      </c>
      <c r="B7" s="360"/>
      <c r="C7" s="360"/>
      <c r="D7" s="360"/>
      <c r="E7" s="360"/>
      <c r="F7" s="360"/>
      <c r="G7" s="360"/>
      <c r="H7" s="360"/>
      <c r="I7" s="360"/>
      <c r="J7" s="360"/>
    </row>
  </sheetData>
  <sheetProtection/>
  <mergeCells count="1">
    <mergeCell ref="A7:J7"/>
  </mergeCells>
  <printOptions/>
  <pageMargins left="0.75" right="0.75" top="1" bottom="1" header="0.5" footer="0.5"/>
  <pageSetup horizontalDpi="400" verticalDpi="400" orientation="portrait" r:id="rId2"/>
  <headerFooter alignWithMargins="0">
    <oddFooter>&amp;LN:\\2185\Combustion Emissions EIR.xls&amp;C&amp;12B-30&amp;R&amp;D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91"/>
  <dimension ref="A1:G49"/>
  <sheetViews>
    <sheetView tabSelected="1" zoomScalePageLayoutView="0" workbookViewId="0" topLeftCell="A25">
      <selection activeCell="D50" sqref="D50"/>
    </sheetView>
  </sheetViews>
  <sheetFormatPr defaultColWidth="9.140625" defaultRowHeight="12.75"/>
  <cols>
    <col min="1" max="1" width="22.00390625" style="0" bestFit="1" customWidth="1"/>
  </cols>
  <sheetData>
    <row r="1" spans="1:7" ht="15">
      <c r="A1" s="325" t="s">
        <v>310</v>
      </c>
      <c r="B1" s="325"/>
      <c r="C1" s="325"/>
      <c r="D1" s="325"/>
      <c r="E1" s="325"/>
      <c r="F1" s="325"/>
      <c r="G1" s="325"/>
    </row>
    <row r="2" ht="13.5" thickBot="1"/>
    <row r="3" spans="1:7" ht="13.5" thickTop="1">
      <c r="A3" s="331" t="s">
        <v>117</v>
      </c>
      <c r="B3" s="332"/>
      <c r="C3" s="335" t="s">
        <v>311</v>
      </c>
      <c r="D3" s="336"/>
      <c r="E3" s="336"/>
      <c r="F3" s="337"/>
      <c r="G3" s="338"/>
    </row>
    <row r="4" spans="1:7" ht="13.5" thickBot="1">
      <c r="A4" s="333"/>
      <c r="B4" s="334"/>
      <c r="C4" s="144" t="s">
        <v>0</v>
      </c>
      <c r="D4" s="144" t="s">
        <v>1</v>
      </c>
      <c r="E4" s="144" t="s">
        <v>2</v>
      </c>
      <c r="F4" s="144" t="s">
        <v>6</v>
      </c>
      <c r="G4" s="145" t="s">
        <v>3</v>
      </c>
    </row>
    <row r="5" spans="1:7" ht="13.5" thickTop="1">
      <c r="A5" s="16"/>
      <c r="B5" s="16"/>
      <c r="C5" s="16"/>
      <c r="D5" s="16"/>
      <c r="E5" s="16"/>
      <c r="F5" s="16"/>
      <c r="G5" s="16"/>
    </row>
    <row r="6" spans="1:7" ht="12.75">
      <c r="A6" s="19"/>
      <c r="B6" s="16"/>
      <c r="C6" s="16"/>
      <c r="D6" s="16"/>
      <c r="E6" s="16"/>
      <c r="F6" s="16"/>
      <c r="G6" s="16"/>
    </row>
    <row r="7" spans="1:7" ht="12.75">
      <c r="A7" s="16" t="s">
        <v>312</v>
      </c>
      <c r="B7" s="16"/>
      <c r="C7" s="24">
        <v>0</v>
      </c>
      <c r="D7" s="24">
        <f>+'Refinery Fugitive Emissions'!G144</f>
        <v>146.78438356164384</v>
      </c>
      <c r="E7" s="24">
        <v>0</v>
      </c>
      <c r="F7" s="24">
        <v>0</v>
      </c>
      <c r="G7" s="24">
        <v>0</v>
      </c>
    </row>
    <row r="8" spans="1:7" ht="12.75">
      <c r="A8" s="16" t="s">
        <v>314</v>
      </c>
      <c r="B8" s="16"/>
      <c r="C8" s="24">
        <f>'Boiler 68'!C12</f>
        <v>168</v>
      </c>
      <c r="D8" s="24">
        <f>'Boiler 68'!C13</f>
        <v>29.400000000000002</v>
      </c>
      <c r="E8" s="24">
        <f>'Boiler 68'!C14</f>
        <v>64.302</v>
      </c>
      <c r="F8" s="24">
        <f>'Boiler 68'!C15</f>
        <v>70.98</v>
      </c>
      <c r="G8" s="24">
        <f>'Boiler 68'!C16</f>
        <v>88.2</v>
      </c>
    </row>
    <row r="9" spans="1:7" ht="12.75">
      <c r="A9" s="16" t="s">
        <v>257</v>
      </c>
      <c r="B9" s="16"/>
      <c r="C9" s="24">
        <f>'Hot Oil Heater'!C12</f>
        <v>240</v>
      </c>
      <c r="D9" s="24">
        <f>'Hot Oil Heater'!C13</f>
        <v>42</v>
      </c>
      <c r="E9" s="24">
        <f>'Hot Oil Heater'!C14</f>
        <v>91.86</v>
      </c>
      <c r="F9" s="24">
        <f>'Hot Oil Heater'!C15</f>
        <v>101.39999999999999</v>
      </c>
      <c r="G9" s="24">
        <f>'Hot Oil Heater'!C16</f>
        <v>126</v>
      </c>
    </row>
    <row r="10" spans="1:7" ht="12.75">
      <c r="A10" s="16" t="s">
        <v>255</v>
      </c>
      <c r="B10" s="16"/>
      <c r="C10" s="24">
        <f>'New Flare'!C12</f>
        <v>0.20299999999999999</v>
      </c>
      <c r="D10" s="24">
        <f>'New Flare'!C13</f>
        <v>0.0406</v>
      </c>
      <c r="E10" s="24">
        <f>'New Flare'!C14</f>
        <v>0.754</v>
      </c>
      <c r="F10" s="24">
        <f>'New Flare'!C15</f>
        <v>0.004814</v>
      </c>
      <c r="G10" s="24">
        <f>'New Flare'!C16</f>
        <v>0.0435</v>
      </c>
    </row>
    <row r="11" spans="1:7" ht="12.75">
      <c r="A11" s="16" t="s">
        <v>315</v>
      </c>
      <c r="B11" s="16"/>
      <c r="C11" s="24">
        <f>'56-H-2'!C10</f>
        <v>41.14285714285714</v>
      </c>
      <c r="D11" s="24">
        <f>'56-H-2'!C11</f>
        <v>7.199999999999999</v>
      </c>
      <c r="E11" s="24">
        <v>0</v>
      </c>
      <c r="F11" s="24">
        <f>'56-H-2'!C12</f>
        <v>17.38285714285714</v>
      </c>
      <c r="G11" s="24">
        <f>'56-H-2'!C13</f>
        <v>21.599999999999998</v>
      </c>
    </row>
    <row r="12" spans="1:7" ht="26.25">
      <c r="A12" s="245" t="s">
        <v>316</v>
      </c>
      <c r="B12" s="16"/>
      <c r="C12" s="24">
        <f>SUM(C7:C11)</f>
        <v>449.3458571428571</v>
      </c>
      <c r="D12" s="24">
        <f>SUM(D7:D11)</f>
        <v>225.42498356164384</v>
      </c>
      <c r="E12" s="24">
        <f>SUM(E7:E11)</f>
        <v>156.916</v>
      </c>
      <c r="F12" s="24">
        <f>SUM(F7:F11)</f>
        <v>189.76767114285715</v>
      </c>
      <c r="G12" s="24">
        <f>SUM(G7:G11)</f>
        <v>235.84349999999998</v>
      </c>
    </row>
    <row r="13" spans="1:7" ht="12.75">
      <c r="A13" s="245"/>
      <c r="B13" s="16"/>
      <c r="C13" s="95"/>
      <c r="D13" s="95"/>
      <c r="E13" s="95"/>
      <c r="F13" s="16"/>
      <c r="G13" s="24"/>
    </row>
    <row r="14" spans="1:7" ht="12.75">
      <c r="A14" s="245" t="s">
        <v>313</v>
      </c>
      <c r="B14" s="16"/>
      <c r="C14" s="24">
        <f>'Truck Emissions'!E24</f>
        <v>33.5744</v>
      </c>
      <c r="D14" s="24">
        <f>'Truck Emissions'!G24</f>
        <v>49.7552</v>
      </c>
      <c r="E14" s="24">
        <f>'Truck Emissions'!I24</f>
        <v>45.0272</v>
      </c>
      <c r="F14" s="24">
        <f>'Truck Emissions'!K24</f>
        <v>0.3936</v>
      </c>
      <c r="G14" s="24">
        <f>'Truck Emissions'!M24</f>
        <v>0.8</v>
      </c>
    </row>
    <row r="15" spans="1:7" ht="12.75">
      <c r="A15" s="16" t="s">
        <v>121</v>
      </c>
      <c r="B15" s="16"/>
      <c r="C15" s="24">
        <v>0</v>
      </c>
      <c r="D15" s="24">
        <v>0</v>
      </c>
      <c r="E15" s="24">
        <v>0</v>
      </c>
      <c r="F15" s="16">
        <v>0</v>
      </c>
      <c r="G15" s="24">
        <f>'Road Dust Op.'!K16</f>
        <v>32.208</v>
      </c>
    </row>
    <row r="16" spans="1:7" ht="26.25">
      <c r="A16" s="245" t="s">
        <v>317</v>
      </c>
      <c r="B16" s="16"/>
      <c r="C16" s="24">
        <f>SUM(C14:C15)</f>
        <v>33.5744</v>
      </c>
      <c r="D16" s="24">
        <f>SUM(D14:D15)</f>
        <v>49.7552</v>
      </c>
      <c r="E16" s="24">
        <f>SUM(E14:E15)</f>
        <v>45.0272</v>
      </c>
      <c r="F16" s="24">
        <f>SUM(F14:F15)</f>
        <v>0.3936</v>
      </c>
      <c r="G16" s="24">
        <f>SUM(G14:G15)</f>
        <v>33.007999999999996</v>
      </c>
    </row>
    <row r="17" spans="1:7" ht="12.75">
      <c r="A17" s="16"/>
      <c r="B17" s="16" t="s">
        <v>5</v>
      </c>
      <c r="C17" s="95"/>
      <c r="D17" s="95"/>
      <c r="E17" s="95"/>
      <c r="F17" s="16"/>
      <c r="G17" s="95"/>
    </row>
    <row r="18" spans="1:7" ht="12.75">
      <c r="A18" s="19" t="s">
        <v>92</v>
      </c>
      <c r="B18" s="16"/>
      <c r="C18" s="147">
        <f>+C12+C16</f>
        <v>482.92025714285705</v>
      </c>
      <c r="D18" s="147">
        <f>+D12+D16</f>
        <v>275.18018356164384</v>
      </c>
      <c r="E18" s="147">
        <f>+E12+E16</f>
        <v>201.9432</v>
      </c>
      <c r="F18" s="147">
        <f>+F12+F16</f>
        <v>190.16127114285715</v>
      </c>
      <c r="G18" s="147">
        <f>+G12+G16</f>
        <v>268.8515</v>
      </c>
    </row>
    <row r="24" ht="12.75">
      <c r="D24" s="148"/>
    </row>
    <row r="43" ht="12.75">
      <c r="D43" s="148"/>
    </row>
    <row r="47" ht="12.75">
      <c r="D47" s="148"/>
    </row>
    <row r="49" ht="12.75">
      <c r="D49" s="148" t="s">
        <v>357</v>
      </c>
    </row>
  </sheetData>
  <sheetProtection/>
  <mergeCells count="3">
    <mergeCell ref="A1:G1"/>
    <mergeCell ref="A3:B4"/>
    <mergeCell ref="C3:G3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&amp;C&amp;"Arial,Bold"&amp;12Table B-28</oddHeader>
    <oddFooter>&amp;L
N:\\2185\&amp;F:&amp;A&amp;C
&amp;R&amp;D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N47"/>
  <sheetViews>
    <sheetView zoomScalePageLayoutView="0" workbookViewId="0" topLeftCell="A16">
      <selection activeCell="A24" sqref="A24:A25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2:14" ht="15.75" customHeight="1">
      <c r="B2" s="253" t="s">
        <v>170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3.5" thickTop="1">
      <c r="B4" s="66" t="s">
        <v>65</v>
      </c>
      <c r="C4" s="67"/>
      <c r="D4" s="67" t="s">
        <v>66</v>
      </c>
      <c r="E4" s="68"/>
      <c r="F4" s="69" t="s">
        <v>67</v>
      </c>
      <c r="G4" s="69"/>
      <c r="H4" s="11"/>
      <c r="I4" s="70"/>
      <c r="J4" s="71"/>
      <c r="K4" s="69" t="s">
        <v>68</v>
      </c>
      <c r="L4" s="72"/>
      <c r="M4" s="73"/>
      <c r="N4" s="12"/>
    </row>
    <row r="5" spans="2:14" ht="13.5" thickBot="1">
      <c r="B5" s="74" t="s">
        <v>5</v>
      </c>
      <c r="C5" s="94" t="s">
        <v>38</v>
      </c>
      <c r="D5" s="75" t="s">
        <v>69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3</v>
      </c>
      <c r="D6" s="81">
        <v>8</v>
      </c>
      <c r="E6" s="157">
        <f>+'CE Emission Factor Calcs'!J6</f>
        <v>0.19535999999999998</v>
      </c>
      <c r="F6" s="157">
        <f>+'CE Emission Factor Calcs'!K6</f>
        <v>0.035519999999999996</v>
      </c>
      <c r="G6" s="157">
        <f>+'CE Emission Factor Calcs'!L6</f>
        <v>0.31967999999999996</v>
      </c>
      <c r="H6" s="157">
        <f>+'CE Emission Factor Calcs'!M6</f>
        <v>0.035519999999999996</v>
      </c>
      <c r="I6" s="157">
        <f>+'CE Emission Factor Calcs'!N6</f>
        <v>0.017759999999999998</v>
      </c>
      <c r="J6" s="82">
        <f>$C6*$D6*E6</f>
        <v>4.6886399999999995</v>
      </c>
      <c r="K6" s="82">
        <f>$C6*$D6*F6</f>
        <v>0.8524799999999999</v>
      </c>
      <c r="L6" s="82">
        <f>$C6*$D6*G6</f>
        <v>7.672319999999999</v>
      </c>
      <c r="M6" s="82">
        <f>$C6*$D6*H6</f>
        <v>0.8524799999999999</v>
      </c>
      <c r="N6" s="82">
        <f>$C6*$D6*I6</f>
        <v>0.42623999999999995</v>
      </c>
    </row>
    <row r="7" spans="2:14" ht="12.75">
      <c r="B7" s="83" t="s">
        <v>71</v>
      </c>
      <c r="C7" s="81">
        <v>3</v>
      </c>
      <c r="D7" s="81">
        <v>8</v>
      </c>
      <c r="E7" s="158">
        <f>'CE Emission Factor Calcs'!J7</f>
        <v>0.551025</v>
      </c>
      <c r="F7" s="157">
        <f>+'CE Emission Factor Calcs'!K7</f>
        <v>0.110205</v>
      </c>
      <c r="G7" s="157">
        <f>+'CE Emission Factor Calcs'!L7</f>
        <v>0.8081699999999999</v>
      </c>
      <c r="H7" s="157">
        <f>+'CE Emission Factor Calcs'!M7</f>
        <v>0.07347</v>
      </c>
      <c r="I7" s="157">
        <f>+'CE Emission Factor Calcs'!N7</f>
        <v>0.036735</v>
      </c>
      <c r="J7" s="82">
        <f aca="true" t="shared" si="0" ref="J7:J23">C7*D7*E7</f>
        <v>13.224599999999999</v>
      </c>
      <c r="K7" s="82">
        <f aca="true" t="shared" si="1" ref="K7:K23">$C7*$D7*F7</f>
        <v>2.64492</v>
      </c>
      <c r="L7" s="82">
        <f aca="true" t="shared" si="2" ref="L7:L23">$C7*$D7*G7</f>
        <v>19.396079999999998</v>
      </c>
      <c r="M7" s="82">
        <f aca="true" t="shared" si="3" ref="M7:M23">$C7*$D7*H7</f>
        <v>1.76328</v>
      </c>
      <c r="N7" s="82">
        <f aca="true" t="shared" si="4" ref="N7:N23">$C7*$D7*I7</f>
        <v>0.88164</v>
      </c>
    </row>
    <row r="8" spans="2:14" ht="12.75">
      <c r="B8" s="80" t="s">
        <v>72</v>
      </c>
      <c r="C8" s="18">
        <v>0</v>
      </c>
      <c r="D8" s="81">
        <v>8</v>
      </c>
      <c r="E8" s="158">
        <f>'CE Emission Factor Calcs'!J8</f>
        <v>0.667821</v>
      </c>
      <c r="F8" s="157">
        <f>+'CE Emission Factor Calcs'!K8</f>
        <v>0.121422</v>
      </c>
      <c r="G8" s="157">
        <f>+'CE Emission Factor Calcs'!L8</f>
        <v>1.396353</v>
      </c>
      <c r="H8" s="157">
        <f>+'CE Emission Factor Calcs'!M8</f>
        <v>0.121422</v>
      </c>
      <c r="I8" s="157">
        <f>+'CE Emission Factor Calcs'!N8</f>
        <v>0.060711</v>
      </c>
      <c r="J8" s="82">
        <f t="shared" si="0"/>
        <v>0</v>
      </c>
      <c r="K8" s="82">
        <f t="shared" si="1"/>
        <v>0</v>
      </c>
      <c r="L8" s="82">
        <f t="shared" si="2"/>
        <v>0</v>
      </c>
      <c r="M8" s="82">
        <f t="shared" si="3"/>
        <v>0</v>
      </c>
      <c r="N8" s="82">
        <f t="shared" si="4"/>
        <v>0</v>
      </c>
    </row>
    <row r="9" spans="2:14" ht="12.75">
      <c r="B9" s="80" t="s">
        <v>158</v>
      </c>
      <c r="C9" s="18">
        <v>0</v>
      </c>
      <c r="D9" s="81">
        <v>8</v>
      </c>
      <c r="E9" s="158">
        <f>'CE Emission Factor Calcs'!J9</f>
        <v>0.656502</v>
      </c>
      <c r="F9" s="157">
        <f>+'CE Emission Factor Calcs'!K9</f>
        <v>0.11936400000000001</v>
      </c>
      <c r="G9" s="157">
        <f>+'CE Emission Factor Calcs'!L9</f>
        <v>1.372686</v>
      </c>
      <c r="H9" s="157">
        <f>+'CE Emission Factor Calcs'!M9</f>
        <v>0.11936400000000001</v>
      </c>
      <c r="I9" s="157">
        <f>+'CE Emission Factor Calcs'!N9</f>
        <v>0.059682000000000006</v>
      </c>
      <c r="J9" s="82">
        <f t="shared" si="0"/>
        <v>0</v>
      </c>
      <c r="K9" s="82">
        <f t="shared" si="1"/>
        <v>0</v>
      </c>
      <c r="L9" s="82">
        <f t="shared" si="2"/>
        <v>0</v>
      </c>
      <c r="M9" s="82">
        <f t="shared" si="3"/>
        <v>0</v>
      </c>
      <c r="N9" s="82">
        <f t="shared" si="4"/>
        <v>0</v>
      </c>
    </row>
    <row r="10" spans="2:14" ht="12.75">
      <c r="B10" s="80" t="s">
        <v>74</v>
      </c>
      <c r="C10" s="18">
        <v>3</v>
      </c>
      <c r="D10" s="81">
        <v>8</v>
      </c>
      <c r="E10" s="157">
        <f>+'CE Emission Factor Calcs'!J10</f>
        <v>2.8552</v>
      </c>
      <c r="F10" s="157">
        <f>+'CE Emission Factor Calcs'!K10</f>
        <v>0.14792</v>
      </c>
      <c r="G10" s="157">
        <f>+'CE Emission Factor Calcs'!L10</f>
        <v>0.01376</v>
      </c>
      <c r="H10" s="157">
        <f>+'CE Emission Factor Calcs'!M10</f>
        <v>0.00172</v>
      </c>
      <c r="I10" s="157">
        <f>+'CE Emission Factor Calcs'!N10</f>
        <v>0.000172</v>
      </c>
      <c r="J10" s="82">
        <f t="shared" si="0"/>
        <v>68.5248</v>
      </c>
      <c r="K10" s="82">
        <f t="shared" si="1"/>
        <v>3.55008</v>
      </c>
      <c r="L10" s="82">
        <f t="shared" si="2"/>
        <v>0.33024</v>
      </c>
      <c r="M10" s="82">
        <f t="shared" si="3"/>
        <v>0.04128</v>
      </c>
      <c r="N10" s="82">
        <f t="shared" si="4"/>
        <v>0.004128</v>
      </c>
    </row>
    <row r="11" spans="2:14" ht="12.75">
      <c r="B11" s="80" t="s">
        <v>75</v>
      </c>
      <c r="C11" s="18">
        <v>4</v>
      </c>
      <c r="D11" s="81">
        <v>8</v>
      </c>
      <c r="E11" s="157">
        <f>+'CE Emission Factor Calcs'!J11</f>
        <v>0.75078</v>
      </c>
      <c r="F11" s="157">
        <f>+'CE Emission Factor Calcs'!K11</f>
        <v>0.25026000000000004</v>
      </c>
      <c r="G11" s="157">
        <f>+'CE Emission Factor Calcs'!L11</f>
        <v>1.91866</v>
      </c>
      <c r="H11" s="157">
        <f>+'CE Emission Factor Calcs'!M11</f>
        <v>0.16684000000000002</v>
      </c>
      <c r="I11" s="157">
        <f>+'CE Emission Factor Calcs'!N11</f>
        <v>0.12513000000000002</v>
      </c>
      <c r="J11" s="82">
        <f t="shared" si="0"/>
        <v>24.02496</v>
      </c>
      <c r="K11" s="82">
        <f t="shared" si="1"/>
        <v>8.008320000000001</v>
      </c>
      <c r="L11" s="82">
        <f t="shared" si="2"/>
        <v>61.39712</v>
      </c>
      <c r="M11" s="82">
        <f t="shared" si="3"/>
        <v>5.3388800000000005</v>
      </c>
      <c r="N11" s="82">
        <f t="shared" si="4"/>
        <v>4.004160000000001</v>
      </c>
    </row>
    <row r="12" spans="2:14" ht="12.75">
      <c r="B12" s="80" t="s">
        <v>125</v>
      </c>
      <c r="C12" s="18">
        <v>0</v>
      </c>
      <c r="D12" s="81">
        <v>8</v>
      </c>
      <c r="E12" s="157">
        <f>+'CE Emission Factor Calcs'!J13</f>
        <v>0.05244</v>
      </c>
      <c r="F12" s="157">
        <f>+'CE Emission Factor Calcs'!K13</f>
        <v>0.017480000000000002</v>
      </c>
      <c r="G12" s="157">
        <f>+'CE Emission Factor Calcs'!L13</f>
        <v>0.18354</v>
      </c>
      <c r="H12" s="157">
        <f>+'CE Emission Factor Calcs'!M13</f>
        <v>0.017480000000000002</v>
      </c>
      <c r="I12" s="157">
        <f>+'CE Emission Factor Calcs'!N13</f>
        <v>0.01311</v>
      </c>
      <c r="J12" s="82">
        <f t="shared" si="0"/>
        <v>0</v>
      </c>
      <c r="K12" s="82">
        <f t="shared" si="1"/>
        <v>0</v>
      </c>
      <c r="L12" s="82">
        <f t="shared" si="2"/>
        <v>0</v>
      </c>
      <c r="M12" s="82">
        <f t="shared" si="3"/>
        <v>0</v>
      </c>
      <c r="N12" s="82">
        <f t="shared" si="4"/>
        <v>0</v>
      </c>
    </row>
    <row r="13" spans="2:14" ht="12.75">
      <c r="B13" s="80" t="s">
        <v>126</v>
      </c>
      <c r="C13" s="18">
        <v>1</v>
      </c>
      <c r="D13" s="81">
        <v>8</v>
      </c>
      <c r="E13" s="157">
        <f>+'CE Emission Factor Calcs'!J14</f>
        <v>0.05244</v>
      </c>
      <c r="F13" s="157">
        <f>+'CE Emission Factor Calcs'!K14</f>
        <v>0.017480000000000002</v>
      </c>
      <c r="G13" s="157">
        <f>+'CE Emission Factor Calcs'!L14</f>
        <v>0.18354</v>
      </c>
      <c r="H13" s="157">
        <f>+'CE Emission Factor Calcs'!M14</f>
        <v>0.017480000000000002</v>
      </c>
      <c r="I13" s="157">
        <f>+'CE Emission Factor Calcs'!N14</f>
        <v>0.01311</v>
      </c>
      <c r="J13" s="82">
        <f t="shared" si="0"/>
        <v>0.41952</v>
      </c>
      <c r="K13" s="82">
        <f t="shared" si="1"/>
        <v>0.13984000000000002</v>
      </c>
      <c r="L13" s="82">
        <f t="shared" si="2"/>
        <v>1.46832</v>
      </c>
      <c r="M13" s="82">
        <f t="shared" si="3"/>
        <v>0.13984000000000002</v>
      </c>
      <c r="N13" s="82">
        <f t="shared" si="4"/>
        <v>0.10488</v>
      </c>
    </row>
    <row r="14" spans="2:14" ht="12.75">
      <c r="B14" s="80" t="s">
        <v>127</v>
      </c>
      <c r="C14" s="18">
        <v>4</v>
      </c>
      <c r="D14" s="81">
        <v>8</v>
      </c>
      <c r="E14" s="157">
        <f>+'CE Emission Factor Calcs'!J15</f>
        <v>0.05244</v>
      </c>
      <c r="F14" s="157">
        <f>+'CE Emission Factor Calcs'!K15</f>
        <v>0.017480000000000002</v>
      </c>
      <c r="G14" s="157">
        <f>+'CE Emission Factor Calcs'!L15</f>
        <v>0.18354</v>
      </c>
      <c r="H14" s="157">
        <f>+'CE Emission Factor Calcs'!M15</f>
        <v>0.017480000000000002</v>
      </c>
      <c r="I14" s="157">
        <f>+'CE Emission Factor Calcs'!N15</f>
        <v>0.01311</v>
      </c>
      <c r="J14" s="82">
        <f t="shared" si="0"/>
        <v>1.67808</v>
      </c>
      <c r="K14" s="82">
        <f t="shared" si="1"/>
        <v>0.5593600000000001</v>
      </c>
      <c r="L14" s="82">
        <f t="shared" si="2"/>
        <v>5.87328</v>
      </c>
      <c r="M14" s="82">
        <f t="shared" si="3"/>
        <v>0.5593600000000001</v>
      </c>
      <c r="N14" s="82">
        <f t="shared" si="4"/>
        <v>0.41952</v>
      </c>
    </row>
    <row r="15" spans="2:14" ht="12.75">
      <c r="B15" s="80" t="s">
        <v>154</v>
      </c>
      <c r="C15" s="18">
        <v>1</v>
      </c>
      <c r="D15" s="81">
        <v>8</v>
      </c>
      <c r="E15" s="157">
        <f>+'CE Emission Factor Calcs'!J16</f>
        <v>3.0627</v>
      </c>
      <c r="F15" s="157">
        <f>+'CE Emission Factor Calcs'!K16</f>
        <v>0.15866999999999998</v>
      </c>
      <c r="G15" s="157">
        <f>+'CE Emission Factor Calcs'!L16</f>
        <v>0.01476</v>
      </c>
      <c r="H15" s="157">
        <f>+'CE Emission Factor Calcs'!M16</f>
        <v>0.001845</v>
      </c>
      <c r="I15" s="157">
        <f>+'CE Emission Factor Calcs'!N16</f>
        <v>0.0009225</v>
      </c>
      <c r="J15" s="82">
        <f t="shared" si="0"/>
        <v>24.5016</v>
      </c>
      <c r="K15" s="82">
        <f t="shared" si="1"/>
        <v>1.2693599999999998</v>
      </c>
      <c r="L15" s="82">
        <f t="shared" si="2"/>
        <v>0.11808</v>
      </c>
      <c r="M15" s="82">
        <f t="shared" si="3"/>
        <v>0.01476</v>
      </c>
      <c r="N15" s="82">
        <f t="shared" si="4"/>
        <v>0.00738</v>
      </c>
    </row>
    <row r="16" spans="2:14" ht="12.75">
      <c r="B16" s="80" t="s">
        <v>160</v>
      </c>
      <c r="C16" s="18">
        <v>2</v>
      </c>
      <c r="D16" s="81">
        <v>8</v>
      </c>
      <c r="E16" s="157">
        <f>+'CE Emission Factor Calcs'!J17</f>
        <v>1.8</v>
      </c>
      <c r="F16" s="157">
        <f>+'CE Emission Factor Calcs'!K17</f>
        <v>0.19</v>
      </c>
      <c r="G16" s="157">
        <f>+'CE Emission Factor Calcs'!L17</f>
        <v>4.17</v>
      </c>
      <c r="H16" s="157">
        <f>+'CE Emission Factor Calcs'!M17</f>
        <v>0.45</v>
      </c>
      <c r="I16" s="157">
        <f>+'CE Emission Factor Calcs'!N17</f>
        <v>0.26</v>
      </c>
      <c r="J16" s="82">
        <f t="shared" si="0"/>
        <v>28.8</v>
      </c>
      <c r="K16" s="82">
        <f t="shared" si="1"/>
        <v>3.04</v>
      </c>
      <c r="L16" s="82">
        <f t="shared" si="2"/>
        <v>66.72</v>
      </c>
      <c r="M16" s="82">
        <f t="shared" si="3"/>
        <v>7.2</v>
      </c>
      <c r="N16" s="82">
        <f t="shared" si="4"/>
        <v>4.16</v>
      </c>
    </row>
    <row r="17" spans="2:14" ht="12.75">
      <c r="B17" s="80" t="s">
        <v>166</v>
      </c>
      <c r="C17" s="18">
        <v>0</v>
      </c>
      <c r="D17" s="81">
        <v>8</v>
      </c>
      <c r="E17" s="157">
        <f>+'CE Emission Factor Calcs'!J18</f>
        <v>3.58</v>
      </c>
      <c r="F17" s="157">
        <f>+'CE Emission Factor Calcs'!K18</f>
        <v>0.18</v>
      </c>
      <c r="G17" s="157">
        <f>+'CE Emission Factor Calcs'!L18</f>
        <v>1.27</v>
      </c>
      <c r="H17" s="157">
        <f>+'CE Emission Factor Calcs'!M18</f>
        <v>0.09</v>
      </c>
      <c r="I17" s="157">
        <f>+'CE Emission Factor Calcs'!N18</f>
        <v>0.14</v>
      </c>
      <c r="J17" s="82">
        <f t="shared" si="0"/>
        <v>0</v>
      </c>
      <c r="K17" s="82">
        <f t="shared" si="1"/>
        <v>0</v>
      </c>
      <c r="L17" s="82">
        <f t="shared" si="2"/>
        <v>0</v>
      </c>
      <c r="M17" s="82">
        <f t="shared" si="3"/>
        <v>0</v>
      </c>
      <c r="N17" s="82">
        <f t="shared" si="4"/>
        <v>0</v>
      </c>
    </row>
    <row r="18" spans="2:14" ht="12.75">
      <c r="B18" s="80" t="s">
        <v>76</v>
      </c>
      <c r="C18" s="18">
        <v>4</v>
      </c>
      <c r="D18" s="81">
        <v>8</v>
      </c>
      <c r="E18" s="157">
        <f>+'CE Emission Factor Calcs'!J19</f>
        <v>0.572</v>
      </c>
      <c r="F18" s="157">
        <f>+'CE Emission Factor Calcs'!K19</f>
        <v>0.23</v>
      </c>
      <c r="G18" s="157">
        <f>+'CE Emission Factor Calcs'!L19</f>
        <v>1.9</v>
      </c>
      <c r="H18" s="157">
        <f>+'CE Emission Factor Calcs'!M19</f>
        <v>0.182</v>
      </c>
      <c r="I18" s="157">
        <f>+'CE Emission Factor Calcs'!N19</f>
        <v>0.17</v>
      </c>
      <c r="J18" s="82">
        <f t="shared" si="0"/>
        <v>18.304</v>
      </c>
      <c r="K18" s="82">
        <f t="shared" si="1"/>
        <v>7.36</v>
      </c>
      <c r="L18" s="82">
        <f t="shared" si="2"/>
        <v>60.8</v>
      </c>
      <c r="M18" s="82">
        <f t="shared" si="3"/>
        <v>5.824</v>
      </c>
      <c r="N18" s="82">
        <f t="shared" si="4"/>
        <v>5.44</v>
      </c>
    </row>
    <row r="19" spans="2:14" ht="12.75">
      <c r="B19" s="80" t="s">
        <v>77</v>
      </c>
      <c r="C19" s="18">
        <v>3</v>
      </c>
      <c r="D19" s="81">
        <v>8</v>
      </c>
      <c r="E19" s="157">
        <f>+'CE Emission Factor Calcs'!J20</f>
        <v>0.28229499999999996</v>
      </c>
      <c r="F19" s="157">
        <f>+'CE Emission Factor Calcs'!K20</f>
        <v>0.065145</v>
      </c>
      <c r="G19" s="157">
        <f>+'CE Emission Factor Calcs'!L20</f>
        <v>0.673165</v>
      </c>
      <c r="H19" s="157">
        <f>+'CE Emission Factor Calcs'!M20</f>
        <v>0.04343</v>
      </c>
      <c r="I19" s="157">
        <f>+'CE Emission Factor Calcs'!N20</f>
        <v>0.0325725</v>
      </c>
      <c r="J19" s="82">
        <f t="shared" si="0"/>
        <v>6.775079999999999</v>
      </c>
      <c r="K19" s="82">
        <f t="shared" si="1"/>
        <v>1.5634799999999998</v>
      </c>
      <c r="L19" s="82">
        <f t="shared" si="2"/>
        <v>16.15596</v>
      </c>
      <c r="M19" s="82">
        <f t="shared" si="3"/>
        <v>1.0423200000000001</v>
      </c>
      <c r="N19" s="82">
        <f t="shared" si="4"/>
        <v>0.7817399999999999</v>
      </c>
    </row>
    <row r="20" spans="2:14" ht="12.75">
      <c r="B20" s="80" t="s">
        <v>78</v>
      </c>
      <c r="C20" s="18">
        <v>1</v>
      </c>
      <c r="D20" s="81">
        <v>8</v>
      </c>
      <c r="E20" s="157">
        <f>+'CE Emission Factor Calcs'!J21</f>
        <v>0.151</v>
      </c>
      <c r="F20" s="157">
        <f>+'CE Emission Factor Calcs'!K21</f>
        <v>0.039</v>
      </c>
      <c r="G20" s="157">
        <f>+'CE Emission Factor Calcs'!L21</f>
        <v>0.713</v>
      </c>
      <c r="H20" s="157">
        <f>+'CE Emission Factor Calcs'!M21</f>
        <v>0.086</v>
      </c>
      <c r="I20" s="157">
        <f>+'CE Emission Factor Calcs'!N21</f>
        <v>0.061</v>
      </c>
      <c r="J20" s="82">
        <f t="shared" si="0"/>
        <v>1.208</v>
      </c>
      <c r="K20" s="82">
        <f t="shared" si="1"/>
        <v>0.312</v>
      </c>
      <c r="L20" s="82">
        <f t="shared" si="2"/>
        <v>5.704</v>
      </c>
      <c r="M20" s="82">
        <f t="shared" si="3"/>
        <v>0.688</v>
      </c>
      <c r="N20" s="82">
        <f t="shared" si="4"/>
        <v>0.488</v>
      </c>
    </row>
    <row r="21" spans="2:14" ht="12.75">
      <c r="B21" s="80" t="s">
        <v>79</v>
      </c>
      <c r="C21" s="18">
        <v>1</v>
      </c>
      <c r="D21" s="81">
        <v>8</v>
      </c>
      <c r="E21" s="157">
        <f>+'CE Emission Factor Calcs'!J22</f>
        <v>0.8059999999999999</v>
      </c>
      <c r="F21" s="157">
        <f>+'CE Emission Factor Calcs'!K22</f>
        <v>0.16119999999999998</v>
      </c>
      <c r="G21" s="157">
        <f>+'CE Emission Factor Calcs'!L22</f>
        <v>1.7731999999999997</v>
      </c>
      <c r="H21" s="157">
        <f>+'CE Emission Factor Calcs'!M22</f>
        <v>0.16119999999999998</v>
      </c>
      <c r="I21" s="157">
        <f>+'CE Emission Factor Calcs'!N22</f>
        <v>0.08059999999999999</v>
      </c>
      <c r="J21" s="82">
        <f t="shared" si="0"/>
        <v>6.4479999999999995</v>
      </c>
      <c r="K21" s="82">
        <f t="shared" si="1"/>
        <v>1.2895999999999999</v>
      </c>
      <c r="L21" s="82">
        <f t="shared" si="2"/>
        <v>14.185599999999997</v>
      </c>
      <c r="M21" s="82">
        <f t="shared" si="3"/>
        <v>1.2895999999999999</v>
      </c>
      <c r="N21" s="82">
        <f t="shared" si="4"/>
        <v>0.6447999999999999</v>
      </c>
    </row>
    <row r="22" spans="2:14" ht="12.75">
      <c r="B22" s="80" t="s">
        <v>80</v>
      </c>
      <c r="C22" s="18">
        <v>0</v>
      </c>
      <c r="D22" s="81">
        <v>8</v>
      </c>
      <c r="E22" s="157">
        <f>+'CE Emission Factor Calcs'!J23</f>
        <v>0.675</v>
      </c>
      <c r="F22" s="157">
        <f>+'CE Emission Factor Calcs'!K23</f>
        <v>0.15</v>
      </c>
      <c r="G22" s="157">
        <f>+'CE Emission Factor Calcs'!L23</f>
        <v>1.7</v>
      </c>
      <c r="H22" s="157">
        <f>+'CE Emission Factor Calcs'!M23</f>
        <v>0.143</v>
      </c>
      <c r="I22" s="157">
        <f>+'CE Emission Factor Calcs'!N23</f>
        <v>0.14</v>
      </c>
      <c r="J22" s="82">
        <f t="shared" si="0"/>
        <v>0</v>
      </c>
      <c r="K22" s="82">
        <f t="shared" si="1"/>
        <v>0</v>
      </c>
      <c r="L22" s="82">
        <f t="shared" si="2"/>
        <v>0</v>
      </c>
      <c r="M22" s="82">
        <f t="shared" si="3"/>
        <v>0</v>
      </c>
      <c r="N22" s="82">
        <f t="shared" si="4"/>
        <v>0</v>
      </c>
    </row>
    <row r="23" spans="2:14" ht="12.75">
      <c r="B23" s="80" t="s">
        <v>81</v>
      </c>
      <c r="C23" s="18">
        <v>0</v>
      </c>
      <c r="D23" s="81">
        <v>8</v>
      </c>
      <c r="E23" s="157">
        <f>+'CE Emission Factor Calcs'!J24</f>
        <v>0.834</v>
      </c>
      <c r="F23" s="157">
        <f>+'CE Emission Factor Calcs'!K24</f>
        <v>0.1251</v>
      </c>
      <c r="G23" s="157">
        <f>+'CE Emission Factor Calcs'!L24</f>
        <v>0.9173999999999999</v>
      </c>
      <c r="H23" s="157">
        <f>+'CE Emission Factor Calcs'!M24</f>
        <v>0.08339999999999999</v>
      </c>
      <c r="I23" s="157">
        <f>+'CE Emission Factor Calcs'!N24</f>
        <v>0.06255</v>
      </c>
      <c r="J23" s="82">
        <f t="shared" si="0"/>
        <v>0</v>
      </c>
      <c r="K23" s="82">
        <f t="shared" si="1"/>
        <v>0</v>
      </c>
      <c r="L23" s="82">
        <f t="shared" si="2"/>
        <v>0</v>
      </c>
      <c r="M23" s="82">
        <f t="shared" si="3"/>
        <v>0</v>
      </c>
      <c r="N23" s="82">
        <f t="shared" si="4"/>
        <v>0</v>
      </c>
    </row>
    <row r="24" spans="1:14" ht="12.75">
      <c r="A24" s="254" t="s">
        <v>196</v>
      </c>
      <c r="B24" s="80"/>
      <c r="C24" s="18"/>
      <c r="D24" s="81"/>
      <c r="E24" s="157"/>
      <c r="F24" s="157"/>
      <c r="G24" s="157"/>
      <c r="H24" s="157"/>
      <c r="I24" s="157"/>
      <c r="J24" s="82"/>
      <c r="K24" s="82"/>
      <c r="L24" s="82"/>
      <c r="M24" s="82"/>
      <c r="N24" s="82"/>
    </row>
    <row r="25" spans="1:14" ht="12.75">
      <c r="A25" s="254"/>
      <c r="B25" s="80" t="s">
        <v>167</v>
      </c>
      <c r="C25" s="18">
        <v>3</v>
      </c>
      <c r="D25" s="81">
        <v>8</v>
      </c>
      <c r="E25" s="157">
        <f>+'CE Emission Factor Calcs'!J26</f>
        <v>0.9718499999999999</v>
      </c>
      <c r="F25" s="157">
        <f>+'CE Emission Factor Calcs'!K26</f>
        <v>0.132525</v>
      </c>
      <c r="G25" s="157">
        <f>+'CE Emission Factor Calcs'!L26</f>
        <v>0.7951499999999999</v>
      </c>
      <c r="H25" s="157">
        <f>+'CE Emission Factor Calcs'!M26</f>
        <v>0.08835</v>
      </c>
      <c r="I25" s="157">
        <f>+'CE Emission Factor Calcs'!N26</f>
        <v>0.0662625</v>
      </c>
      <c r="J25" s="82">
        <f>C25*D25*E25</f>
        <v>23.324399999999997</v>
      </c>
      <c r="K25" s="82">
        <f aca="true" t="shared" si="5" ref="K25:N27">$C25*$D25*F25</f>
        <v>3.1806</v>
      </c>
      <c r="L25" s="82">
        <f t="shared" si="5"/>
        <v>19.083599999999997</v>
      </c>
      <c r="M25" s="82">
        <f t="shared" si="5"/>
        <v>2.1204</v>
      </c>
      <c r="N25" s="82">
        <f t="shared" si="5"/>
        <v>1.5903</v>
      </c>
    </row>
    <row r="26" spans="2:14" ht="12.75">
      <c r="B26" s="80" t="s">
        <v>82</v>
      </c>
      <c r="C26" s="18">
        <v>2</v>
      </c>
      <c r="D26" s="81">
        <v>8</v>
      </c>
      <c r="E26" s="157">
        <f>+'CE Emission Factor Calcs'!J27</f>
        <v>12.973788</v>
      </c>
      <c r="F26" s="157">
        <f>+'CE Emission Factor Calcs'!K27</f>
        <v>0.473688</v>
      </c>
      <c r="G26" s="157">
        <f>+'CE Emission Factor Calcs'!L27</f>
        <v>0.017544</v>
      </c>
      <c r="H26" s="157">
        <f>+'CE Emission Factor Calcs'!M27</f>
        <v>0.0052632</v>
      </c>
      <c r="I26" s="157">
        <f>+'CE Emission Factor Calcs'!N27</f>
        <v>0.002193</v>
      </c>
      <c r="J26" s="82">
        <f>C26*D26*E26</f>
        <v>207.580608</v>
      </c>
      <c r="K26" s="82">
        <f t="shared" si="5"/>
        <v>7.579008</v>
      </c>
      <c r="L26" s="82">
        <f t="shared" si="5"/>
        <v>0.280704</v>
      </c>
      <c r="M26" s="82">
        <f t="shared" si="5"/>
        <v>0.0842112</v>
      </c>
      <c r="N26" s="82">
        <f t="shared" si="5"/>
        <v>0.035088</v>
      </c>
    </row>
    <row r="27" spans="2:14" ht="12.75">
      <c r="B27" s="80" t="s">
        <v>83</v>
      </c>
      <c r="C27" s="18">
        <v>20</v>
      </c>
      <c r="D27" s="81">
        <v>8</v>
      </c>
      <c r="E27" s="157">
        <f>+'CE Emission Factor Calcs'!J28</f>
        <v>0.17325</v>
      </c>
      <c r="F27" s="157">
        <f>+'CE Emission Factor Calcs'!K28</f>
        <v>0.0315</v>
      </c>
      <c r="G27" s="157">
        <f>+'CE Emission Factor Calcs'!L28</f>
        <v>0.2835</v>
      </c>
      <c r="H27" s="157">
        <f>+'CE Emission Factor Calcs'!M28</f>
        <v>0.0315</v>
      </c>
      <c r="I27" s="157">
        <f>+'CE Emission Factor Calcs'!N28</f>
        <v>0.01575</v>
      </c>
      <c r="J27" s="82">
        <f>C27*D27*E27</f>
        <v>27.72</v>
      </c>
      <c r="K27" s="82">
        <f t="shared" si="5"/>
        <v>5.04</v>
      </c>
      <c r="L27" s="82">
        <f t="shared" si="5"/>
        <v>45.36</v>
      </c>
      <c r="M27" s="82">
        <f t="shared" si="5"/>
        <v>5.04</v>
      </c>
      <c r="N27" s="82">
        <f t="shared" si="5"/>
        <v>2.52</v>
      </c>
    </row>
    <row r="28" spans="2:14" ht="12.75">
      <c r="B28" s="80"/>
      <c r="C28" s="18"/>
      <c r="D28" s="81"/>
      <c r="E28" s="157"/>
      <c r="F28" s="157"/>
      <c r="G28" s="157"/>
      <c r="H28" s="157"/>
      <c r="I28" s="157"/>
      <c r="J28" s="82"/>
      <c r="K28" s="82"/>
      <c r="L28" s="82"/>
      <c r="M28" s="82"/>
      <c r="N28" s="82"/>
    </row>
    <row r="29" spans="2:14" ht="12.75">
      <c r="B29" s="80"/>
      <c r="C29" s="18"/>
      <c r="D29" s="81"/>
      <c r="E29" s="157"/>
      <c r="F29" s="157"/>
      <c r="G29" s="157"/>
      <c r="H29" s="157"/>
      <c r="I29" s="157"/>
      <c r="J29" s="82"/>
      <c r="K29" s="82"/>
      <c r="L29" s="82"/>
      <c r="M29" s="82"/>
      <c r="N29" s="82"/>
    </row>
    <row r="30" spans="2:14" ht="12.75">
      <c r="B30" s="80" t="s">
        <v>157</v>
      </c>
      <c r="C30" s="18">
        <v>3</v>
      </c>
      <c r="D30" s="81">
        <v>8</v>
      </c>
      <c r="E30" s="157">
        <f>+'CE Emission Factor Calcs'!J31</f>
        <v>3.2536</v>
      </c>
      <c r="F30" s="157">
        <f>+'CE Emission Factor Calcs'!K31</f>
        <v>0.15680000000000002</v>
      </c>
      <c r="G30" s="157">
        <f>+'CE Emission Factor Calcs'!L31</f>
        <v>0.015680000000000003</v>
      </c>
      <c r="H30" s="157">
        <f>+'CE Emission Factor Calcs'!M31</f>
        <v>0.0019600000000000004</v>
      </c>
      <c r="I30" s="157">
        <f>+'CE Emission Factor Calcs'!N31</f>
        <v>0.0009800000000000002</v>
      </c>
      <c r="J30" s="82">
        <f aca="true" t="shared" si="6" ref="J30:J36">C30*D30*E30</f>
        <v>78.0864</v>
      </c>
      <c r="K30" s="82">
        <f aca="true" t="shared" si="7" ref="K30:N36">$C30*$D30*F30</f>
        <v>3.7632000000000003</v>
      </c>
      <c r="L30" s="82">
        <f t="shared" si="7"/>
        <v>0.3763200000000001</v>
      </c>
      <c r="M30" s="82">
        <f t="shared" si="7"/>
        <v>0.04704000000000001</v>
      </c>
      <c r="N30" s="82">
        <f t="shared" si="7"/>
        <v>0.023520000000000006</v>
      </c>
    </row>
    <row r="31" spans="2:14" ht="12.75">
      <c r="B31" s="80" t="s">
        <v>322</v>
      </c>
      <c r="C31" s="18">
        <v>0</v>
      </c>
      <c r="D31" s="81">
        <v>8</v>
      </c>
      <c r="E31" s="157">
        <f>+'CE Emission Factor Calcs'!J32</f>
        <v>1.826</v>
      </c>
      <c r="F31" s="157">
        <f>+'CE Emission Factor Calcs'!K32</f>
        <v>0.0946</v>
      </c>
      <c r="G31" s="157">
        <f>+'CE Emission Factor Calcs'!L32</f>
        <v>0.0088</v>
      </c>
      <c r="H31" s="157">
        <f>+'CE Emission Factor Calcs'!M32</f>
        <v>0.0011</v>
      </c>
      <c r="I31" s="157">
        <f>+'CE Emission Factor Calcs'!N32</f>
        <v>0.00055</v>
      </c>
      <c r="J31" s="82">
        <f t="shared" si="6"/>
        <v>0</v>
      </c>
      <c r="K31" s="82">
        <f t="shared" si="7"/>
        <v>0</v>
      </c>
      <c r="L31" s="82">
        <f t="shared" si="7"/>
        <v>0</v>
      </c>
      <c r="M31" s="82">
        <f t="shared" si="7"/>
        <v>0</v>
      </c>
      <c r="N31" s="82">
        <f t="shared" si="7"/>
        <v>0</v>
      </c>
    </row>
    <row r="32" spans="2:14" ht="12.75">
      <c r="B32" s="80" t="s">
        <v>168</v>
      </c>
      <c r="C32" s="18">
        <v>4</v>
      </c>
      <c r="D32" s="81">
        <v>8</v>
      </c>
      <c r="E32" s="157">
        <f>+'CE Emission Factor Calcs'!J33</f>
        <v>0.3</v>
      </c>
      <c r="F32" s="157">
        <f>+'CE Emission Factor Calcs'!K33</f>
        <v>0.065</v>
      </c>
      <c r="G32" s="157">
        <f>+'CE Emission Factor Calcs'!L33</f>
        <v>0.87</v>
      </c>
      <c r="H32" s="157">
        <f>+'CE Emission Factor Calcs'!M33</f>
        <v>0.067</v>
      </c>
      <c r="I32" s="157">
        <f>+'CE Emission Factor Calcs'!N33</f>
        <v>0.05</v>
      </c>
      <c r="J32" s="82">
        <f t="shared" si="6"/>
        <v>9.6</v>
      </c>
      <c r="K32" s="82">
        <f t="shared" si="7"/>
        <v>2.08</v>
      </c>
      <c r="L32" s="82">
        <f t="shared" si="7"/>
        <v>27.84</v>
      </c>
      <c r="M32" s="82">
        <f t="shared" si="7"/>
        <v>2.144</v>
      </c>
      <c r="N32" s="82">
        <f t="shared" si="7"/>
        <v>1.6</v>
      </c>
    </row>
    <row r="33" spans="2:14" ht="12.75">
      <c r="B33" s="80" t="s">
        <v>155</v>
      </c>
      <c r="C33" s="18">
        <v>2</v>
      </c>
      <c r="D33" s="81">
        <v>8</v>
      </c>
      <c r="E33" s="157">
        <f>+'CE Emission Factor Calcs'!J34</f>
        <v>13.41</v>
      </c>
      <c r="F33" s="157">
        <f>+'CE Emission Factor Calcs'!K34</f>
        <v>0.59</v>
      </c>
      <c r="G33" s="157">
        <f>+'CE Emission Factor Calcs'!L34</f>
        <v>0.362</v>
      </c>
      <c r="H33" s="157">
        <f>+'CE Emission Factor Calcs'!M34</f>
        <v>0.0185</v>
      </c>
      <c r="I33" s="157">
        <f>+'CE Emission Factor Calcs'!N34</f>
        <v>0.026</v>
      </c>
      <c r="J33" s="82">
        <f t="shared" si="6"/>
        <v>214.56</v>
      </c>
      <c r="K33" s="82">
        <f t="shared" si="7"/>
        <v>9.44</v>
      </c>
      <c r="L33" s="82">
        <f t="shared" si="7"/>
        <v>5.792</v>
      </c>
      <c r="M33" s="82">
        <f t="shared" si="7"/>
        <v>0.296</v>
      </c>
      <c r="N33" s="82">
        <f t="shared" si="7"/>
        <v>0.416</v>
      </c>
    </row>
    <row r="34" spans="2:14" ht="12.75">
      <c r="B34" s="80" t="s">
        <v>84</v>
      </c>
      <c r="C34" s="18">
        <v>0</v>
      </c>
      <c r="D34" s="81">
        <v>8</v>
      </c>
      <c r="E34" s="157">
        <f>+'CE Emission Factor Calcs'!J35</f>
        <v>0.675</v>
      </c>
      <c r="F34" s="157">
        <f>+'CE Emission Factor Calcs'!K35</f>
        <v>0.15</v>
      </c>
      <c r="G34" s="157">
        <f>+'CE Emission Factor Calcs'!L35</f>
        <v>1.7</v>
      </c>
      <c r="H34" s="157">
        <f>+'CE Emission Factor Calcs'!M35</f>
        <v>0.143</v>
      </c>
      <c r="I34" s="157">
        <f>+'CE Emission Factor Calcs'!N35</f>
        <v>0.14</v>
      </c>
      <c r="J34" s="82">
        <f t="shared" si="6"/>
        <v>0</v>
      </c>
      <c r="K34" s="82">
        <f t="shared" si="7"/>
        <v>0</v>
      </c>
      <c r="L34" s="82">
        <f t="shared" si="7"/>
        <v>0</v>
      </c>
      <c r="M34" s="82">
        <f t="shared" si="7"/>
        <v>0</v>
      </c>
      <c r="N34" s="82">
        <f t="shared" si="7"/>
        <v>0</v>
      </c>
    </row>
    <row r="35" spans="2:14" ht="12.75">
      <c r="B35" s="80" t="s">
        <v>85</v>
      </c>
      <c r="C35" s="181">
        <v>0</v>
      </c>
      <c r="D35" s="81">
        <v>8</v>
      </c>
      <c r="E35" s="157">
        <f>+'CE Emission Factor Calcs'!J36</f>
        <v>0.675</v>
      </c>
      <c r="F35" s="157">
        <f>+'CE Emission Factor Calcs'!K36</f>
        <v>0.15</v>
      </c>
      <c r="G35" s="157">
        <f>+'CE Emission Factor Calcs'!L36</f>
        <v>1.7</v>
      </c>
      <c r="H35" s="157">
        <f>+'CE Emission Factor Calcs'!M36</f>
        <v>0.143</v>
      </c>
      <c r="I35" s="157">
        <f>+'CE Emission Factor Calcs'!N36</f>
        <v>0.14</v>
      </c>
      <c r="J35" s="82">
        <f t="shared" si="6"/>
        <v>0</v>
      </c>
      <c r="K35" s="82">
        <f t="shared" si="7"/>
        <v>0</v>
      </c>
      <c r="L35" s="82">
        <f t="shared" si="7"/>
        <v>0</v>
      </c>
      <c r="M35" s="82">
        <f t="shared" si="7"/>
        <v>0</v>
      </c>
      <c r="N35" s="82">
        <f t="shared" si="7"/>
        <v>0</v>
      </c>
    </row>
    <row r="36" spans="2:14" ht="13.5" thickBot="1">
      <c r="B36" s="84" t="s">
        <v>324</v>
      </c>
      <c r="C36" s="85">
        <v>3</v>
      </c>
      <c r="D36" s="85">
        <v>8</v>
      </c>
      <c r="E36" s="85">
        <f>+'CE Emission Factor Calcs'!J37</f>
        <v>3.2535999999999996</v>
      </c>
      <c r="F36" s="85">
        <f>+'CE Emission Factor Calcs'!K37</f>
        <v>0.16856</v>
      </c>
      <c r="G36" s="85">
        <f>+'CE Emission Factor Calcs'!L37</f>
        <v>0.01568</v>
      </c>
      <c r="H36" s="85">
        <f>+'CE Emission Factor Calcs'!M37</f>
        <v>0.00196</v>
      </c>
      <c r="I36" s="165">
        <f>+'CE Emission Factor Calcs'!N37</f>
        <v>0.00098</v>
      </c>
      <c r="J36" s="182">
        <f t="shared" si="6"/>
        <v>78.0864</v>
      </c>
      <c r="K36" s="182">
        <f t="shared" si="7"/>
        <v>4.045439999999999</v>
      </c>
      <c r="L36" s="182">
        <f t="shared" si="7"/>
        <v>0.37632</v>
      </c>
      <c r="M36" s="182">
        <f t="shared" si="7"/>
        <v>0.04704</v>
      </c>
      <c r="N36" s="183">
        <f t="shared" si="7"/>
        <v>0.02352</v>
      </c>
    </row>
    <row r="37" spans="2:14" ht="13.5" thickBot="1">
      <c r="B37" s="83"/>
      <c r="C37" s="86"/>
      <c r="D37" s="86"/>
      <c r="E37" s="86"/>
      <c r="F37" s="86"/>
      <c r="G37" s="86"/>
      <c r="H37" s="86"/>
      <c r="I37" s="85"/>
      <c r="J37" s="85"/>
      <c r="K37" s="85"/>
      <c r="L37" s="85"/>
      <c r="M37" s="85"/>
      <c r="N37" s="85"/>
    </row>
    <row r="38" spans="2:14" ht="13.5" thickBot="1">
      <c r="B38" s="87" t="s">
        <v>86</v>
      </c>
      <c r="C38" s="88"/>
      <c r="D38" s="88"/>
      <c r="E38" s="88"/>
      <c r="F38" s="88"/>
      <c r="G38" s="88"/>
      <c r="H38" s="88"/>
      <c r="I38" s="88"/>
      <c r="J38" s="89">
        <f>SUM(J6:J36)</f>
        <v>837.5550880000002</v>
      </c>
      <c r="K38" s="89">
        <f>SUM(K6:K36)</f>
        <v>65.717688</v>
      </c>
      <c r="L38" s="184">
        <f>SUM(L6:L36)</f>
        <v>358.92994400000003</v>
      </c>
      <c r="M38" s="89">
        <f>SUM(M6:M36)</f>
        <v>34.532491199999996</v>
      </c>
      <c r="N38" s="92">
        <f>SUM(N6:N36)</f>
        <v>23.570916</v>
      </c>
    </row>
    <row r="39" spans="2:14" ht="14.25" thickBot="1" thickTop="1">
      <c r="B39" s="93" t="s">
        <v>5</v>
      </c>
      <c r="C39" s="149"/>
      <c r="D39" s="90"/>
      <c r="E39" s="90"/>
      <c r="F39" s="10"/>
      <c r="G39" s="10"/>
      <c r="H39" s="10"/>
      <c r="I39" s="10"/>
      <c r="J39" s="146"/>
      <c r="K39" s="146"/>
      <c r="L39" s="146"/>
      <c r="M39" s="142"/>
      <c r="N39" s="143"/>
    </row>
    <row r="40" spans="10:14" ht="13.5" thickTop="1">
      <c r="J40" s="23"/>
      <c r="K40" s="23"/>
      <c r="L40" s="23"/>
      <c r="M40" s="23"/>
      <c r="N40" s="23"/>
    </row>
    <row r="41" ht="12.75">
      <c r="B41" s="13" t="s">
        <v>87</v>
      </c>
    </row>
    <row r="42" spans="2:5" ht="12.75">
      <c r="B42" s="13" t="s">
        <v>88</v>
      </c>
      <c r="E42" s="13" t="s">
        <v>89</v>
      </c>
    </row>
    <row r="43" ht="12.75">
      <c r="B43" s="13" t="s">
        <v>90</v>
      </c>
    </row>
    <row r="44" spans="2:6" ht="12.75">
      <c r="B44" s="13" t="s">
        <v>91</v>
      </c>
      <c r="C44" s="150"/>
      <c r="D44" s="13"/>
      <c r="E44" s="13"/>
      <c r="F44" s="91"/>
    </row>
    <row r="46" ht="12.75">
      <c r="N46" s="57"/>
    </row>
    <row r="47" ht="12.75">
      <c r="B47" s="13"/>
    </row>
  </sheetData>
  <sheetProtection/>
  <mergeCells count="2">
    <mergeCell ref="B2:N2"/>
    <mergeCell ref="A24:A25"/>
  </mergeCells>
  <conditionalFormatting sqref="M40:N40 J40">
    <cfRule type="cellIs" priority="1" dxfId="0" operator="greaterThanOrEqual" stopIfTrue="1">
      <formula>$J$41</formula>
    </cfRule>
  </conditionalFormatting>
  <conditionalFormatting sqref="L40">
    <cfRule type="cellIs" priority="2" dxfId="0" operator="greaterThanOrEqual" stopIfTrue="1">
      <formula>$L$41</formula>
    </cfRule>
  </conditionalFormatting>
  <conditionalFormatting sqref="K40">
    <cfRule type="cellIs" priority="3" dxfId="0" operator="greaterThanOrEqual" stopIfTrue="1">
      <formula>$K$41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B-3
Construction Equipment Emissions for the Ultramar Alkylation Improvement Project 
</oddHeader>
    <oddFooter>&amp;L&amp;8N:\\2185\&amp;F:&amp;A&amp;R&amp;8&amp;D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N48"/>
  <sheetViews>
    <sheetView zoomScalePageLayoutView="0" workbookViewId="0" topLeftCell="A6">
      <selection activeCell="C12" sqref="C12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2:14" ht="15.75" customHeight="1">
      <c r="B2" s="253" t="s">
        <v>171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3.5" thickTop="1">
      <c r="B4" s="66" t="s">
        <v>65</v>
      </c>
      <c r="C4" s="67"/>
      <c r="D4" s="67" t="s">
        <v>66</v>
      </c>
      <c r="E4" s="68"/>
      <c r="F4" s="69" t="s">
        <v>67</v>
      </c>
      <c r="G4" s="69"/>
      <c r="H4" s="11"/>
      <c r="I4" s="70"/>
      <c r="J4" s="71"/>
      <c r="K4" s="69" t="s">
        <v>68</v>
      </c>
      <c r="L4" s="72"/>
      <c r="M4" s="73"/>
      <c r="N4" s="12"/>
    </row>
    <row r="5" spans="2:14" ht="13.5" thickBot="1">
      <c r="B5" s="74" t="s">
        <v>5</v>
      </c>
      <c r="C5" s="94" t="s">
        <v>38</v>
      </c>
      <c r="D5" s="75" t="s">
        <v>69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6</v>
      </c>
      <c r="D6" s="81">
        <v>8</v>
      </c>
      <c r="E6" s="157">
        <f>+'CE Emission Factor Calcs'!J6</f>
        <v>0.19535999999999998</v>
      </c>
      <c r="F6" s="157">
        <f>+'CE Emission Factor Calcs'!K6</f>
        <v>0.035519999999999996</v>
      </c>
      <c r="G6" s="157">
        <f>+'CE Emission Factor Calcs'!L6</f>
        <v>0.31967999999999996</v>
      </c>
      <c r="H6" s="157">
        <f>+'CE Emission Factor Calcs'!M6</f>
        <v>0.035519999999999996</v>
      </c>
      <c r="I6" s="157">
        <f>+'CE Emission Factor Calcs'!N6</f>
        <v>0.017759999999999998</v>
      </c>
      <c r="J6" s="82">
        <f>$C6*$D6*E6</f>
        <v>9.377279999999999</v>
      </c>
      <c r="K6" s="82">
        <f>$C6*$D6*F6</f>
        <v>1.7049599999999998</v>
      </c>
      <c r="L6" s="82">
        <f>$C6*$D6*G6</f>
        <v>15.344639999999998</v>
      </c>
      <c r="M6" s="82">
        <f>$C6*$D6*H6</f>
        <v>1.7049599999999998</v>
      </c>
      <c r="N6" s="82">
        <f>$C6*$D6*I6</f>
        <v>0.8524799999999999</v>
      </c>
    </row>
    <row r="7" spans="2:14" ht="12.75">
      <c r="B7" s="83" t="s">
        <v>71</v>
      </c>
      <c r="C7" s="81">
        <v>0</v>
      </c>
      <c r="D7" s="81">
        <v>8</v>
      </c>
      <c r="E7" s="158">
        <f>'CE Emission Factor Calcs'!J7</f>
        <v>0.551025</v>
      </c>
      <c r="F7" s="157">
        <f>+'CE Emission Factor Calcs'!K7</f>
        <v>0.110205</v>
      </c>
      <c r="G7" s="157">
        <f>+'CE Emission Factor Calcs'!L7</f>
        <v>0.8081699999999999</v>
      </c>
      <c r="H7" s="157">
        <f>+'CE Emission Factor Calcs'!M7</f>
        <v>0.07347</v>
      </c>
      <c r="I7" s="157">
        <f>+'CE Emission Factor Calcs'!N7</f>
        <v>0.036735</v>
      </c>
      <c r="J7" s="82">
        <f aca="true" t="shared" si="0" ref="J7:J24">C7*D7*E7</f>
        <v>0</v>
      </c>
      <c r="K7" s="82">
        <f aca="true" t="shared" si="1" ref="K7:K24">$C7*$D7*F7</f>
        <v>0</v>
      </c>
      <c r="L7" s="82">
        <f aca="true" t="shared" si="2" ref="L7:L24">$C7*$D7*G7</f>
        <v>0</v>
      </c>
      <c r="M7" s="82">
        <f aca="true" t="shared" si="3" ref="M7:M24">$C7*$D7*H7</f>
        <v>0</v>
      </c>
      <c r="N7" s="82">
        <f aca="true" t="shared" si="4" ref="N7:N24">$C7*$D7*I7</f>
        <v>0</v>
      </c>
    </row>
    <row r="8" spans="2:14" ht="12.75">
      <c r="B8" s="80" t="s">
        <v>72</v>
      </c>
      <c r="C8" s="18">
        <v>0</v>
      </c>
      <c r="D8" s="81">
        <v>8</v>
      </c>
      <c r="E8" s="158">
        <f>'CE Emission Factor Calcs'!J8</f>
        <v>0.667821</v>
      </c>
      <c r="F8" s="157">
        <f>+'CE Emission Factor Calcs'!K8</f>
        <v>0.121422</v>
      </c>
      <c r="G8" s="157">
        <f>+'CE Emission Factor Calcs'!L8</f>
        <v>1.396353</v>
      </c>
      <c r="H8" s="157">
        <f>+'CE Emission Factor Calcs'!M8</f>
        <v>0.121422</v>
      </c>
      <c r="I8" s="157">
        <f>+'CE Emission Factor Calcs'!N8</f>
        <v>0.060711</v>
      </c>
      <c r="J8" s="82">
        <f t="shared" si="0"/>
        <v>0</v>
      </c>
      <c r="K8" s="82">
        <f t="shared" si="1"/>
        <v>0</v>
      </c>
      <c r="L8" s="82">
        <f t="shared" si="2"/>
        <v>0</v>
      </c>
      <c r="M8" s="82">
        <f t="shared" si="3"/>
        <v>0</v>
      </c>
      <c r="N8" s="82">
        <f t="shared" si="4"/>
        <v>0</v>
      </c>
    </row>
    <row r="9" spans="2:14" ht="12.75">
      <c r="B9" s="80" t="s">
        <v>158</v>
      </c>
      <c r="C9" s="18">
        <v>0</v>
      </c>
      <c r="D9" s="81">
        <v>8</v>
      </c>
      <c r="E9" s="158">
        <f>'CE Emission Factor Calcs'!J9</f>
        <v>0.656502</v>
      </c>
      <c r="F9" s="157">
        <f>+'CE Emission Factor Calcs'!K9</f>
        <v>0.11936400000000001</v>
      </c>
      <c r="G9" s="157">
        <f>+'CE Emission Factor Calcs'!L9</f>
        <v>1.372686</v>
      </c>
      <c r="H9" s="157">
        <f>+'CE Emission Factor Calcs'!M9</f>
        <v>0.11936400000000001</v>
      </c>
      <c r="I9" s="157">
        <f>+'CE Emission Factor Calcs'!N9</f>
        <v>0.059682000000000006</v>
      </c>
      <c r="J9" s="82">
        <f t="shared" si="0"/>
        <v>0</v>
      </c>
      <c r="K9" s="82">
        <f t="shared" si="1"/>
        <v>0</v>
      </c>
      <c r="L9" s="82">
        <f t="shared" si="2"/>
        <v>0</v>
      </c>
      <c r="M9" s="82">
        <f t="shared" si="3"/>
        <v>0</v>
      </c>
      <c r="N9" s="82">
        <f t="shared" si="4"/>
        <v>0</v>
      </c>
    </row>
    <row r="10" spans="2:14" ht="12.75">
      <c r="B10" s="80" t="s">
        <v>74</v>
      </c>
      <c r="C10" s="18">
        <v>0</v>
      </c>
      <c r="D10" s="81">
        <v>8</v>
      </c>
      <c r="E10" s="157">
        <f>+'CE Emission Factor Calcs'!J10</f>
        <v>2.8552</v>
      </c>
      <c r="F10" s="157">
        <f>+'CE Emission Factor Calcs'!K10</f>
        <v>0.14792</v>
      </c>
      <c r="G10" s="157">
        <f>+'CE Emission Factor Calcs'!L10</f>
        <v>0.01376</v>
      </c>
      <c r="H10" s="157">
        <f>+'CE Emission Factor Calcs'!M10</f>
        <v>0.00172</v>
      </c>
      <c r="I10" s="157">
        <f>+'CE Emission Factor Calcs'!N10</f>
        <v>0.000172</v>
      </c>
      <c r="J10" s="82">
        <f t="shared" si="0"/>
        <v>0</v>
      </c>
      <c r="K10" s="82">
        <f t="shared" si="1"/>
        <v>0</v>
      </c>
      <c r="L10" s="82">
        <f t="shared" si="2"/>
        <v>0</v>
      </c>
      <c r="M10" s="82">
        <f t="shared" si="3"/>
        <v>0</v>
      </c>
      <c r="N10" s="82">
        <f t="shared" si="4"/>
        <v>0</v>
      </c>
    </row>
    <row r="11" spans="2:14" ht="12.75">
      <c r="B11" s="80" t="s">
        <v>75</v>
      </c>
      <c r="C11" s="18">
        <v>9</v>
      </c>
      <c r="D11" s="81">
        <v>8</v>
      </c>
      <c r="E11" s="157">
        <f>+'CE Emission Factor Calcs'!J11</f>
        <v>0.75078</v>
      </c>
      <c r="F11" s="157">
        <f>+'CE Emission Factor Calcs'!K11</f>
        <v>0.25026000000000004</v>
      </c>
      <c r="G11" s="157">
        <f>+'CE Emission Factor Calcs'!L11</f>
        <v>1.91866</v>
      </c>
      <c r="H11" s="157">
        <f>+'CE Emission Factor Calcs'!M11</f>
        <v>0.16684000000000002</v>
      </c>
      <c r="I11" s="157">
        <f>+'CE Emission Factor Calcs'!N11</f>
        <v>0.12513000000000002</v>
      </c>
      <c r="J11" s="82">
        <f t="shared" si="0"/>
        <v>54.05616</v>
      </c>
      <c r="K11" s="82">
        <f t="shared" si="1"/>
        <v>18.018720000000002</v>
      </c>
      <c r="L11" s="82">
        <f t="shared" si="2"/>
        <v>138.14352</v>
      </c>
      <c r="M11" s="82">
        <f t="shared" si="3"/>
        <v>12.012480000000002</v>
      </c>
      <c r="N11" s="82">
        <f t="shared" si="4"/>
        <v>9.009360000000001</v>
      </c>
    </row>
    <row r="12" spans="2:14" ht="12.75">
      <c r="B12" s="80" t="s">
        <v>346</v>
      </c>
      <c r="C12" s="18">
        <v>1</v>
      </c>
      <c r="D12" s="81">
        <v>8</v>
      </c>
      <c r="E12" s="157">
        <f>+'CE Emission Factor Calcs'!J12</f>
        <v>1.7414999999999998</v>
      </c>
      <c r="F12" s="157">
        <f>+'CE Emission Factor Calcs'!K12</f>
        <v>0.5805</v>
      </c>
      <c r="G12" s="157">
        <f>+'CE Emission Factor Calcs'!L12</f>
        <v>4.4505</v>
      </c>
      <c r="H12" s="157">
        <f>+'CE Emission Factor Calcs'!M12</f>
        <v>0.387</v>
      </c>
      <c r="I12" s="157">
        <f>+'CE Emission Factor Calcs'!N12</f>
        <v>0.29025</v>
      </c>
      <c r="J12" s="82">
        <f>C12*D12*E12</f>
        <v>13.931999999999999</v>
      </c>
      <c r="K12" s="82">
        <f>$C12*$D12*F12</f>
        <v>4.644</v>
      </c>
      <c r="L12" s="82">
        <f>$C12*$D12*G12</f>
        <v>35.604</v>
      </c>
      <c r="M12" s="82">
        <f>$C12*$D12*H12</f>
        <v>3.096</v>
      </c>
      <c r="N12" s="82">
        <f>$C12*$D12*I12</f>
        <v>2.322</v>
      </c>
    </row>
    <row r="13" spans="2:14" ht="12.75">
      <c r="B13" s="80" t="s">
        <v>125</v>
      </c>
      <c r="C13" s="18">
        <v>0</v>
      </c>
      <c r="D13" s="81">
        <v>8</v>
      </c>
      <c r="E13" s="157">
        <f>+'CE Emission Factor Calcs'!J13</f>
        <v>0.05244</v>
      </c>
      <c r="F13" s="157">
        <f>+'CE Emission Factor Calcs'!K13</f>
        <v>0.017480000000000002</v>
      </c>
      <c r="G13" s="157">
        <f>+'CE Emission Factor Calcs'!L13</f>
        <v>0.18354</v>
      </c>
      <c r="H13" s="157">
        <f>+'CE Emission Factor Calcs'!M13</f>
        <v>0.017480000000000002</v>
      </c>
      <c r="I13" s="157">
        <f>+'CE Emission Factor Calcs'!N13</f>
        <v>0.01311</v>
      </c>
      <c r="J13" s="82">
        <f t="shared" si="0"/>
        <v>0</v>
      </c>
      <c r="K13" s="82">
        <f t="shared" si="1"/>
        <v>0</v>
      </c>
      <c r="L13" s="82">
        <f t="shared" si="2"/>
        <v>0</v>
      </c>
      <c r="M13" s="82">
        <f t="shared" si="3"/>
        <v>0</v>
      </c>
      <c r="N13" s="82">
        <f t="shared" si="4"/>
        <v>0</v>
      </c>
    </row>
    <row r="14" spans="2:14" ht="12.75">
      <c r="B14" s="80" t="s">
        <v>126</v>
      </c>
      <c r="C14" s="18">
        <v>1</v>
      </c>
      <c r="D14" s="81">
        <v>8</v>
      </c>
      <c r="E14" s="157">
        <f>+'CE Emission Factor Calcs'!J14</f>
        <v>0.05244</v>
      </c>
      <c r="F14" s="157">
        <f>+'CE Emission Factor Calcs'!K14</f>
        <v>0.017480000000000002</v>
      </c>
      <c r="G14" s="157">
        <f>+'CE Emission Factor Calcs'!L14</f>
        <v>0.18354</v>
      </c>
      <c r="H14" s="157">
        <f>+'CE Emission Factor Calcs'!M14</f>
        <v>0.017480000000000002</v>
      </c>
      <c r="I14" s="157">
        <f>+'CE Emission Factor Calcs'!N14</f>
        <v>0.01311</v>
      </c>
      <c r="J14" s="82">
        <f t="shared" si="0"/>
        <v>0.41952</v>
      </c>
      <c r="K14" s="82">
        <f t="shared" si="1"/>
        <v>0.13984000000000002</v>
      </c>
      <c r="L14" s="82">
        <f t="shared" si="2"/>
        <v>1.46832</v>
      </c>
      <c r="M14" s="82">
        <f t="shared" si="3"/>
        <v>0.13984000000000002</v>
      </c>
      <c r="N14" s="82">
        <f t="shared" si="4"/>
        <v>0.10488</v>
      </c>
    </row>
    <row r="15" spans="2:14" ht="12.75">
      <c r="B15" s="80" t="s">
        <v>127</v>
      </c>
      <c r="C15" s="18">
        <v>0</v>
      </c>
      <c r="D15" s="81">
        <v>8</v>
      </c>
      <c r="E15" s="157">
        <f>+'CE Emission Factor Calcs'!J15</f>
        <v>0.05244</v>
      </c>
      <c r="F15" s="157">
        <f>+'CE Emission Factor Calcs'!K15</f>
        <v>0.017480000000000002</v>
      </c>
      <c r="G15" s="157">
        <f>+'CE Emission Factor Calcs'!L15</f>
        <v>0.18354</v>
      </c>
      <c r="H15" s="157">
        <f>+'CE Emission Factor Calcs'!M15</f>
        <v>0.017480000000000002</v>
      </c>
      <c r="I15" s="157">
        <f>+'CE Emission Factor Calcs'!N15</f>
        <v>0.01311</v>
      </c>
      <c r="J15" s="82">
        <f t="shared" si="0"/>
        <v>0</v>
      </c>
      <c r="K15" s="82">
        <f t="shared" si="1"/>
        <v>0</v>
      </c>
      <c r="L15" s="82">
        <f t="shared" si="2"/>
        <v>0</v>
      </c>
      <c r="M15" s="82">
        <f t="shared" si="3"/>
        <v>0</v>
      </c>
      <c r="N15" s="82">
        <f t="shared" si="4"/>
        <v>0</v>
      </c>
    </row>
    <row r="16" spans="2:14" ht="12.75">
      <c r="B16" s="80" t="s">
        <v>154</v>
      </c>
      <c r="C16" s="18">
        <v>1</v>
      </c>
      <c r="D16" s="81">
        <v>8</v>
      </c>
      <c r="E16" s="157">
        <f>+'CE Emission Factor Calcs'!J16</f>
        <v>3.0627</v>
      </c>
      <c r="F16" s="157">
        <f>+'CE Emission Factor Calcs'!K16</f>
        <v>0.15866999999999998</v>
      </c>
      <c r="G16" s="157">
        <f>+'CE Emission Factor Calcs'!L16</f>
        <v>0.01476</v>
      </c>
      <c r="H16" s="157">
        <f>+'CE Emission Factor Calcs'!M16</f>
        <v>0.001845</v>
      </c>
      <c r="I16" s="157">
        <f>+'CE Emission Factor Calcs'!N16</f>
        <v>0.0009225</v>
      </c>
      <c r="J16" s="82">
        <f t="shared" si="0"/>
        <v>24.5016</v>
      </c>
      <c r="K16" s="82">
        <f t="shared" si="1"/>
        <v>1.2693599999999998</v>
      </c>
      <c r="L16" s="82">
        <f t="shared" si="2"/>
        <v>0.11808</v>
      </c>
      <c r="M16" s="82">
        <f t="shared" si="3"/>
        <v>0.01476</v>
      </c>
      <c r="N16" s="82">
        <f t="shared" si="4"/>
        <v>0.00738</v>
      </c>
    </row>
    <row r="17" spans="2:14" ht="12.75">
      <c r="B17" s="80" t="s">
        <v>160</v>
      </c>
      <c r="C17" s="18">
        <v>2</v>
      </c>
      <c r="D17" s="81">
        <v>8</v>
      </c>
      <c r="E17" s="157">
        <f>+'CE Emission Factor Calcs'!J17</f>
        <v>1.8</v>
      </c>
      <c r="F17" s="157">
        <f>+'CE Emission Factor Calcs'!K17</f>
        <v>0.19</v>
      </c>
      <c r="G17" s="157">
        <f>+'CE Emission Factor Calcs'!L17</f>
        <v>4.17</v>
      </c>
      <c r="H17" s="157">
        <f>+'CE Emission Factor Calcs'!M17</f>
        <v>0.45</v>
      </c>
      <c r="I17" s="157">
        <f>+'CE Emission Factor Calcs'!N17</f>
        <v>0.26</v>
      </c>
      <c r="J17" s="82">
        <f t="shared" si="0"/>
        <v>28.8</v>
      </c>
      <c r="K17" s="82">
        <f t="shared" si="1"/>
        <v>3.04</v>
      </c>
      <c r="L17" s="82">
        <f t="shared" si="2"/>
        <v>66.72</v>
      </c>
      <c r="M17" s="82">
        <f t="shared" si="3"/>
        <v>7.2</v>
      </c>
      <c r="N17" s="82">
        <f t="shared" si="4"/>
        <v>4.16</v>
      </c>
    </row>
    <row r="18" spans="2:14" ht="12.75">
      <c r="B18" s="80" t="s">
        <v>166</v>
      </c>
      <c r="C18" s="18">
        <v>0</v>
      </c>
      <c r="D18" s="81">
        <v>8</v>
      </c>
      <c r="E18" s="157">
        <f>+'CE Emission Factor Calcs'!J18</f>
        <v>3.58</v>
      </c>
      <c r="F18" s="157">
        <f>+'CE Emission Factor Calcs'!K18</f>
        <v>0.18</v>
      </c>
      <c r="G18" s="157">
        <f>+'CE Emission Factor Calcs'!L18</f>
        <v>1.27</v>
      </c>
      <c r="H18" s="157">
        <f>+'CE Emission Factor Calcs'!M18</f>
        <v>0.09</v>
      </c>
      <c r="I18" s="157">
        <f>+'CE Emission Factor Calcs'!N18</f>
        <v>0.14</v>
      </c>
      <c r="J18" s="82">
        <f t="shared" si="0"/>
        <v>0</v>
      </c>
      <c r="K18" s="82">
        <f t="shared" si="1"/>
        <v>0</v>
      </c>
      <c r="L18" s="82">
        <f t="shared" si="2"/>
        <v>0</v>
      </c>
      <c r="M18" s="82">
        <f t="shared" si="3"/>
        <v>0</v>
      </c>
      <c r="N18" s="82">
        <f t="shared" si="4"/>
        <v>0</v>
      </c>
    </row>
    <row r="19" spans="2:14" ht="12.75">
      <c r="B19" s="80" t="s">
        <v>76</v>
      </c>
      <c r="C19" s="18">
        <v>0</v>
      </c>
      <c r="D19" s="81">
        <v>8</v>
      </c>
      <c r="E19" s="157">
        <f>+'CE Emission Factor Calcs'!J19</f>
        <v>0.572</v>
      </c>
      <c r="F19" s="157">
        <f>+'CE Emission Factor Calcs'!K19</f>
        <v>0.23</v>
      </c>
      <c r="G19" s="157">
        <f>+'CE Emission Factor Calcs'!L19</f>
        <v>1.9</v>
      </c>
      <c r="H19" s="157">
        <f>+'CE Emission Factor Calcs'!M19</f>
        <v>0.182</v>
      </c>
      <c r="I19" s="157">
        <f>+'CE Emission Factor Calcs'!N19</f>
        <v>0.17</v>
      </c>
      <c r="J19" s="82">
        <f t="shared" si="0"/>
        <v>0</v>
      </c>
      <c r="K19" s="82">
        <f t="shared" si="1"/>
        <v>0</v>
      </c>
      <c r="L19" s="82">
        <f t="shared" si="2"/>
        <v>0</v>
      </c>
      <c r="M19" s="82">
        <f t="shared" si="3"/>
        <v>0</v>
      </c>
      <c r="N19" s="82">
        <f t="shared" si="4"/>
        <v>0</v>
      </c>
    </row>
    <row r="20" spans="2:14" ht="12.75">
      <c r="B20" s="80" t="s">
        <v>77</v>
      </c>
      <c r="C20" s="18">
        <v>26</v>
      </c>
      <c r="D20" s="81">
        <v>8</v>
      </c>
      <c r="E20" s="157">
        <f>+'CE Emission Factor Calcs'!J20</f>
        <v>0.28229499999999996</v>
      </c>
      <c r="F20" s="157">
        <f>+'CE Emission Factor Calcs'!K20</f>
        <v>0.065145</v>
      </c>
      <c r="G20" s="157">
        <f>+'CE Emission Factor Calcs'!L20</f>
        <v>0.673165</v>
      </c>
      <c r="H20" s="157">
        <f>+'CE Emission Factor Calcs'!M20</f>
        <v>0.04343</v>
      </c>
      <c r="I20" s="157">
        <f>+'CE Emission Factor Calcs'!N20</f>
        <v>0.0325725</v>
      </c>
      <c r="J20" s="82">
        <f t="shared" si="0"/>
        <v>58.71735999999999</v>
      </c>
      <c r="K20" s="82">
        <f t="shared" si="1"/>
        <v>13.550159999999998</v>
      </c>
      <c r="L20" s="82">
        <f t="shared" si="2"/>
        <v>140.01832000000002</v>
      </c>
      <c r="M20" s="82">
        <f t="shared" si="3"/>
        <v>9.03344</v>
      </c>
      <c r="N20" s="82">
        <f t="shared" si="4"/>
        <v>6.775079999999999</v>
      </c>
    </row>
    <row r="21" spans="2:14" ht="12.75">
      <c r="B21" s="80" t="s">
        <v>78</v>
      </c>
      <c r="C21" s="18">
        <v>0</v>
      </c>
      <c r="D21" s="81">
        <v>8</v>
      </c>
      <c r="E21" s="157">
        <f>+'CE Emission Factor Calcs'!J21</f>
        <v>0.151</v>
      </c>
      <c r="F21" s="157">
        <f>+'CE Emission Factor Calcs'!K21</f>
        <v>0.039</v>
      </c>
      <c r="G21" s="157">
        <f>+'CE Emission Factor Calcs'!L21</f>
        <v>0.713</v>
      </c>
      <c r="H21" s="157">
        <f>+'CE Emission Factor Calcs'!M21</f>
        <v>0.086</v>
      </c>
      <c r="I21" s="157">
        <f>+'CE Emission Factor Calcs'!N21</f>
        <v>0.061</v>
      </c>
      <c r="J21" s="82">
        <f t="shared" si="0"/>
        <v>0</v>
      </c>
      <c r="K21" s="82">
        <f t="shared" si="1"/>
        <v>0</v>
      </c>
      <c r="L21" s="82">
        <f t="shared" si="2"/>
        <v>0</v>
      </c>
      <c r="M21" s="82">
        <f t="shared" si="3"/>
        <v>0</v>
      </c>
      <c r="N21" s="82">
        <f t="shared" si="4"/>
        <v>0</v>
      </c>
    </row>
    <row r="22" spans="2:14" ht="12.75">
      <c r="B22" s="80" t="s">
        <v>79</v>
      </c>
      <c r="C22" s="18">
        <v>1</v>
      </c>
      <c r="D22" s="81">
        <v>8</v>
      </c>
      <c r="E22" s="157">
        <f>+'CE Emission Factor Calcs'!J22</f>
        <v>0.8059999999999999</v>
      </c>
      <c r="F22" s="157">
        <f>+'CE Emission Factor Calcs'!K22</f>
        <v>0.16119999999999998</v>
      </c>
      <c r="G22" s="157">
        <f>+'CE Emission Factor Calcs'!L22</f>
        <v>1.7731999999999997</v>
      </c>
      <c r="H22" s="157">
        <f>+'CE Emission Factor Calcs'!M22</f>
        <v>0.16119999999999998</v>
      </c>
      <c r="I22" s="157">
        <f>+'CE Emission Factor Calcs'!N22</f>
        <v>0.08059999999999999</v>
      </c>
      <c r="J22" s="82">
        <f t="shared" si="0"/>
        <v>6.4479999999999995</v>
      </c>
      <c r="K22" s="82">
        <f t="shared" si="1"/>
        <v>1.2895999999999999</v>
      </c>
      <c r="L22" s="82">
        <f t="shared" si="2"/>
        <v>14.185599999999997</v>
      </c>
      <c r="M22" s="82">
        <f t="shared" si="3"/>
        <v>1.2895999999999999</v>
      </c>
      <c r="N22" s="82">
        <f t="shared" si="4"/>
        <v>0.6447999999999999</v>
      </c>
    </row>
    <row r="23" spans="2:14" ht="12.75">
      <c r="B23" s="80" t="s">
        <v>80</v>
      </c>
      <c r="C23" s="18">
        <v>0</v>
      </c>
      <c r="D23" s="81">
        <v>8</v>
      </c>
      <c r="E23" s="157">
        <f>+'CE Emission Factor Calcs'!J23</f>
        <v>0.675</v>
      </c>
      <c r="F23" s="157">
        <f>+'CE Emission Factor Calcs'!K23</f>
        <v>0.15</v>
      </c>
      <c r="G23" s="157">
        <f>+'CE Emission Factor Calcs'!L23</f>
        <v>1.7</v>
      </c>
      <c r="H23" s="157">
        <f>+'CE Emission Factor Calcs'!M23</f>
        <v>0.143</v>
      </c>
      <c r="I23" s="157">
        <f>+'CE Emission Factor Calcs'!N23</f>
        <v>0.14</v>
      </c>
      <c r="J23" s="82">
        <f t="shared" si="0"/>
        <v>0</v>
      </c>
      <c r="K23" s="82">
        <f t="shared" si="1"/>
        <v>0</v>
      </c>
      <c r="L23" s="82">
        <f t="shared" si="2"/>
        <v>0</v>
      </c>
      <c r="M23" s="82">
        <f t="shared" si="3"/>
        <v>0</v>
      </c>
      <c r="N23" s="82">
        <f t="shared" si="4"/>
        <v>0</v>
      </c>
    </row>
    <row r="24" spans="2:14" ht="12.75">
      <c r="B24" s="80" t="s">
        <v>81</v>
      </c>
      <c r="C24" s="18">
        <v>0</v>
      </c>
      <c r="D24" s="81">
        <v>8</v>
      </c>
      <c r="E24" s="157">
        <f>+'CE Emission Factor Calcs'!J24</f>
        <v>0.834</v>
      </c>
      <c r="F24" s="157">
        <f>+'CE Emission Factor Calcs'!K24</f>
        <v>0.1251</v>
      </c>
      <c r="G24" s="157">
        <f>+'CE Emission Factor Calcs'!L24</f>
        <v>0.9173999999999999</v>
      </c>
      <c r="H24" s="157">
        <f>+'CE Emission Factor Calcs'!M24</f>
        <v>0.08339999999999999</v>
      </c>
      <c r="I24" s="157">
        <f>+'CE Emission Factor Calcs'!N24</f>
        <v>0.06255</v>
      </c>
      <c r="J24" s="82">
        <f t="shared" si="0"/>
        <v>0</v>
      </c>
      <c r="K24" s="82">
        <f t="shared" si="1"/>
        <v>0</v>
      </c>
      <c r="L24" s="82">
        <f t="shared" si="2"/>
        <v>0</v>
      </c>
      <c r="M24" s="82">
        <f t="shared" si="3"/>
        <v>0</v>
      </c>
      <c r="N24" s="82">
        <f t="shared" si="4"/>
        <v>0</v>
      </c>
    </row>
    <row r="25" spans="1:14" ht="12.75">
      <c r="A25" s="254" t="s">
        <v>197</v>
      </c>
      <c r="B25" s="80"/>
      <c r="C25" s="18"/>
      <c r="D25" s="81"/>
      <c r="E25" s="157"/>
      <c r="F25" s="157"/>
      <c r="G25" s="157"/>
      <c r="H25" s="157"/>
      <c r="I25" s="157"/>
      <c r="J25" s="82"/>
      <c r="K25" s="82"/>
      <c r="L25" s="82"/>
      <c r="M25" s="82"/>
      <c r="N25" s="82"/>
    </row>
    <row r="26" spans="1:14" ht="12.75">
      <c r="A26" s="254"/>
      <c r="B26" s="80" t="s">
        <v>167</v>
      </c>
      <c r="C26" s="18">
        <v>6</v>
      </c>
      <c r="D26" s="81">
        <v>8</v>
      </c>
      <c r="E26" s="157">
        <f>+'CE Emission Factor Calcs'!J26</f>
        <v>0.9718499999999999</v>
      </c>
      <c r="F26" s="157">
        <f>+'CE Emission Factor Calcs'!K26</f>
        <v>0.132525</v>
      </c>
      <c r="G26" s="157">
        <f>+'CE Emission Factor Calcs'!L26</f>
        <v>0.7951499999999999</v>
      </c>
      <c r="H26" s="157">
        <f>+'CE Emission Factor Calcs'!M26</f>
        <v>0.08835</v>
      </c>
      <c r="I26" s="157">
        <f>+'CE Emission Factor Calcs'!N26</f>
        <v>0.0662625</v>
      </c>
      <c r="J26" s="82">
        <f>C26*D26*E26</f>
        <v>46.648799999999994</v>
      </c>
      <c r="K26" s="82">
        <f aca="true" t="shared" si="5" ref="K26:N28">$C26*$D26*F26</f>
        <v>6.3612</v>
      </c>
      <c r="L26" s="82">
        <f t="shared" si="5"/>
        <v>38.167199999999994</v>
      </c>
      <c r="M26" s="82">
        <f t="shared" si="5"/>
        <v>4.2408</v>
      </c>
      <c r="N26" s="82">
        <f t="shared" si="5"/>
        <v>3.1806</v>
      </c>
    </row>
    <row r="27" spans="2:14" ht="12.75">
      <c r="B27" s="80" t="s">
        <v>82</v>
      </c>
      <c r="C27" s="18">
        <v>9</v>
      </c>
      <c r="D27" s="81">
        <v>8</v>
      </c>
      <c r="E27" s="157">
        <f>+'CE Emission Factor Calcs'!J27</f>
        <v>12.973788</v>
      </c>
      <c r="F27" s="157">
        <f>+'CE Emission Factor Calcs'!K27</f>
        <v>0.473688</v>
      </c>
      <c r="G27" s="157">
        <f>+'CE Emission Factor Calcs'!L27</f>
        <v>0.017544</v>
      </c>
      <c r="H27" s="157">
        <f>+'CE Emission Factor Calcs'!M27</f>
        <v>0.0052632</v>
      </c>
      <c r="I27" s="157">
        <f>+'CE Emission Factor Calcs'!N27</f>
        <v>0.002193</v>
      </c>
      <c r="J27" s="82">
        <f>C27*D27*E27</f>
        <v>934.112736</v>
      </c>
      <c r="K27" s="82">
        <f t="shared" si="5"/>
        <v>34.105536</v>
      </c>
      <c r="L27" s="82">
        <f t="shared" si="5"/>
        <v>1.263168</v>
      </c>
      <c r="M27" s="82">
        <f t="shared" si="5"/>
        <v>0.3789504</v>
      </c>
      <c r="N27" s="82">
        <f t="shared" si="5"/>
        <v>0.157896</v>
      </c>
    </row>
    <row r="28" spans="2:14" ht="12.75">
      <c r="B28" s="80" t="s">
        <v>83</v>
      </c>
      <c r="C28" s="18">
        <v>74</v>
      </c>
      <c r="D28" s="81">
        <v>8</v>
      </c>
      <c r="E28" s="157">
        <f>+'CE Emission Factor Calcs'!J28</f>
        <v>0.17325</v>
      </c>
      <c r="F28" s="157">
        <f>+'CE Emission Factor Calcs'!K28</f>
        <v>0.0315</v>
      </c>
      <c r="G28" s="157">
        <f>+'CE Emission Factor Calcs'!L28</f>
        <v>0.2835</v>
      </c>
      <c r="H28" s="157">
        <f>+'CE Emission Factor Calcs'!M28</f>
        <v>0.0315</v>
      </c>
      <c r="I28" s="157">
        <f>+'CE Emission Factor Calcs'!N28</f>
        <v>0.01575</v>
      </c>
      <c r="J28" s="82">
        <f>C28*D28*E28</f>
        <v>102.564</v>
      </c>
      <c r="K28" s="82">
        <f t="shared" si="5"/>
        <v>18.648</v>
      </c>
      <c r="L28" s="82">
        <f t="shared" si="5"/>
        <v>167.832</v>
      </c>
      <c r="M28" s="82">
        <f t="shared" si="5"/>
        <v>18.648</v>
      </c>
      <c r="N28" s="82">
        <f t="shared" si="5"/>
        <v>9.324</v>
      </c>
    </row>
    <row r="29" spans="2:14" ht="12.75">
      <c r="B29" s="80"/>
      <c r="C29" s="18"/>
      <c r="D29" s="81"/>
      <c r="E29" s="157"/>
      <c r="F29" s="157"/>
      <c r="G29" s="157"/>
      <c r="H29" s="157"/>
      <c r="I29" s="157"/>
      <c r="J29" s="82"/>
      <c r="K29" s="82"/>
      <c r="L29" s="82"/>
      <c r="M29" s="82"/>
      <c r="N29" s="82"/>
    </row>
    <row r="30" spans="2:14" ht="12.75">
      <c r="B30" s="80"/>
      <c r="C30" s="18"/>
      <c r="D30" s="81"/>
      <c r="E30" s="157"/>
      <c r="F30" s="157"/>
      <c r="G30" s="157"/>
      <c r="H30" s="157"/>
      <c r="I30" s="157"/>
      <c r="J30" s="82"/>
      <c r="K30" s="82"/>
      <c r="L30" s="82"/>
      <c r="M30" s="82"/>
      <c r="N30" s="82"/>
    </row>
    <row r="31" spans="2:14" ht="12.75">
      <c r="B31" s="80" t="s">
        <v>157</v>
      </c>
      <c r="C31" s="18">
        <v>0</v>
      </c>
      <c r="D31" s="81">
        <v>8</v>
      </c>
      <c r="E31" s="157">
        <f>+'CE Emission Factor Calcs'!J31</f>
        <v>3.2536</v>
      </c>
      <c r="F31" s="157">
        <f>+'CE Emission Factor Calcs'!K31</f>
        <v>0.15680000000000002</v>
      </c>
      <c r="G31" s="157">
        <f>+'CE Emission Factor Calcs'!L31</f>
        <v>0.015680000000000003</v>
      </c>
      <c r="H31" s="157">
        <f>+'CE Emission Factor Calcs'!M31</f>
        <v>0.0019600000000000004</v>
      </c>
      <c r="I31" s="157">
        <f>+'CE Emission Factor Calcs'!N31</f>
        <v>0.0009800000000000002</v>
      </c>
      <c r="J31" s="82">
        <f aca="true" t="shared" si="6" ref="J31:J37">C31*D31*E31</f>
        <v>0</v>
      </c>
      <c r="K31" s="82">
        <f aca="true" t="shared" si="7" ref="K31:N37">$C31*$D31*F31</f>
        <v>0</v>
      </c>
      <c r="L31" s="82">
        <f t="shared" si="7"/>
        <v>0</v>
      </c>
      <c r="M31" s="82">
        <f t="shared" si="7"/>
        <v>0</v>
      </c>
      <c r="N31" s="82">
        <f t="shared" si="7"/>
        <v>0</v>
      </c>
    </row>
    <row r="32" spans="2:14" ht="12.75">
      <c r="B32" s="80" t="s">
        <v>322</v>
      </c>
      <c r="C32" s="18">
        <v>0</v>
      </c>
      <c r="D32" s="81">
        <v>8</v>
      </c>
      <c r="E32" s="157">
        <f>+'CE Emission Factor Calcs'!J32</f>
        <v>1.826</v>
      </c>
      <c r="F32" s="157">
        <f>+'CE Emission Factor Calcs'!K32</f>
        <v>0.0946</v>
      </c>
      <c r="G32" s="157">
        <f>+'CE Emission Factor Calcs'!L32</f>
        <v>0.0088</v>
      </c>
      <c r="H32" s="157">
        <f>+'CE Emission Factor Calcs'!M32</f>
        <v>0.0011</v>
      </c>
      <c r="I32" s="157">
        <f>+'CE Emission Factor Calcs'!N32</f>
        <v>0.00055</v>
      </c>
      <c r="J32" s="82">
        <f t="shared" si="6"/>
        <v>0</v>
      </c>
      <c r="K32" s="82">
        <f t="shared" si="7"/>
        <v>0</v>
      </c>
      <c r="L32" s="82">
        <f t="shared" si="7"/>
        <v>0</v>
      </c>
      <c r="M32" s="82">
        <f t="shared" si="7"/>
        <v>0</v>
      </c>
      <c r="N32" s="82">
        <f t="shared" si="7"/>
        <v>0</v>
      </c>
    </row>
    <row r="33" spans="2:14" ht="12.75">
      <c r="B33" s="80" t="s">
        <v>168</v>
      </c>
      <c r="C33" s="18">
        <v>0</v>
      </c>
      <c r="D33" s="81">
        <v>8</v>
      </c>
      <c r="E33" s="157">
        <f>+'CE Emission Factor Calcs'!J33</f>
        <v>0.3</v>
      </c>
      <c r="F33" s="157">
        <f>+'CE Emission Factor Calcs'!K33</f>
        <v>0.065</v>
      </c>
      <c r="G33" s="157">
        <f>+'CE Emission Factor Calcs'!L33</f>
        <v>0.87</v>
      </c>
      <c r="H33" s="157">
        <f>+'CE Emission Factor Calcs'!M33</f>
        <v>0.067</v>
      </c>
      <c r="I33" s="157">
        <f>+'CE Emission Factor Calcs'!N33</f>
        <v>0.05</v>
      </c>
      <c r="J33" s="82">
        <f t="shared" si="6"/>
        <v>0</v>
      </c>
      <c r="K33" s="82">
        <f t="shared" si="7"/>
        <v>0</v>
      </c>
      <c r="L33" s="82">
        <f t="shared" si="7"/>
        <v>0</v>
      </c>
      <c r="M33" s="82">
        <f t="shared" si="7"/>
        <v>0</v>
      </c>
      <c r="N33" s="82">
        <f t="shared" si="7"/>
        <v>0</v>
      </c>
    </row>
    <row r="34" spans="2:14" ht="12.75">
      <c r="B34" s="80" t="s">
        <v>155</v>
      </c>
      <c r="C34" s="18">
        <v>0</v>
      </c>
      <c r="D34" s="81">
        <v>8</v>
      </c>
      <c r="E34" s="157">
        <f>+'CE Emission Factor Calcs'!J34</f>
        <v>13.41</v>
      </c>
      <c r="F34" s="157">
        <f>+'CE Emission Factor Calcs'!K34</f>
        <v>0.59</v>
      </c>
      <c r="G34" s="157">
        <f>+'CE Emission Factor Calcs'!L34</f>
        <v>0.362</v>
      </c>
      <c r="H34" s="157">
        <f>+'CE Emission Factor Calcs'!M34</f>
        <v>0.0185</v>
      </c>
      <c r="I34" s="157">
        <f>+'CE Emission Factor Calcs'!N34</f>
        <v>0.026</v>
      </c>
      <c r="J34" s="82">
        <f t="shared" si="6"/>
        <v>0</v>
      </c>
      <c r="K34" s="82">
        <f t="shared" si="7"/>
        <v>0</v>
      </c>
      <c r="L34" s="82">
        <f t="shared" si="7"/>
        <v>0</v>
      </c>
      <c r="M34" s="82">
        <f t="shared" si="7"/>
        <v>0</v>
      </c>
      <c r="N34" s="82">
        <f t="shared" si="7"/>
        <v>0</v>
      </c>
    </row>
    <row r="35" spans="2:14" ht="12.75">
      <c r="B35" s="80" t="s">
        <v>84</v>
      </c>
      <c r="C35" s="18">
        <v>0</v>
      </c>
      <c r="D35" s="81">
        <v>8</v>
      </c>
      <c r="E35" s="157">
        <f>+'CE Emission Factor Calcs'!J35</f>
        <v>0.675</v>
      </c>
      <c r="F35" s="157">
        <f>+'CE Emission Factor Calcs'!K35</f>
        <v>0.15</v>
      </c>
      <c r="G35" s="157">
        <f>+'CE Emission Factor Calcs'!L35</f>
        <v>1.7</v>
      </c>
      <c r="H35" s="157">
        <f>+'CE Emission Factor Calcs'!M35</f>
        <v>0.143</v>
      </c>
      <c r="I35" s="157">
        <f>+'CE Emission Factor Calcs'!N35</f>
        <v>0.14</v>
      </c>
      <c r="J35" s="82">
        <f t="shared" si="6"/>
        <v>0</v>
      </c>
      <c r="K35" s="82">
        <f t="shared" si="7"/>
        <v>0</v>
      </c>
      <c r="L35" s="82">
        <f t="shared" si="7"/>
        <v>0</v>
      </c>
      <c r="M35" s="82">
        <f t="shared" si="7"/>
        <v>0</v>
      </c>
      <c r="N35" s="82">
        <f t="shared" si="7"/>
        <v>0</v>
      </c>
    </row>
    <row r="36" spans="2:14" ht="12.75">
      <c r="B36" s="80" t="s">
        <v>85</v>
      </c>
      <c r="C36" s="181">
        <v>0</v>
      </c>
      <c r="D36" s="81">
        <v>8</v>
      </c>
      <c r="E36" s="157">
        <f>+'CE Emission Factor Calcs'!J36</f>
        <v>0.675</v>
      </c>
      <c r="F36" s="157">
        <f>+'CE Emission Factor Calcs'!K36</f>
        <v>0.15</v>
      </c>
      <c r="G36" s="157">
        <f>+'CE Emission Factor Calcs'!L36</f>
        <v>1.7</v>
      </c>
      <c r="H36" s="157">
        <f>+'CE Emission Factor Calcs'!M36</f>
        <v>0.143</v>
      </c>
      <c r="I36" s="157">
        <f>+'CE Emission Factor Calcs'!N36</f>
        <v>0.14</v>
      </c>
      <c r="J36" s="82">
        <f t="shared" si="6"/>
        <v>0</v>
      </c>
      <c r="K36" s="82">
        <f t="shared" si="7"/>
        <v>0</v>
      </c>
      <c r="L36" s="82">
        <f t="shared" si="7"/>
        <v>0</v>
      </c>
      <c r="M36" s="82">
        <f t="shared" si="7"/>
        <v>0</v>
      </c>
      <c r="N36" s="82">
        <f t="shared" si="7"/>
        <v>0</v>
      </c>
    </row>
    <row r="37" spans="2:14" ht="13.5" thickBot="1">
      <c r="B37" s="84" t="s">
        <v>324</v>
      </c>
      <c r="C37" s="85">
        <v>0</v>
      </c>
      <c r="D37" s="85">
        <v>8</v>
      </c>
      <c r="E37" s="85">
        <f>+'CE Emission Factor Calcs'!J37</f>
        <v>3.2535999999999996</v>
      </c>
      <c r="F37" s="85">
        <f>+'CE Emission Factor Calcs'!K37</f>
        <v>0.16856</v>
      </c>
      <c r="G37" s="85">
        <f>+'CE Emission Factor Calcs'!L37</f>
        <v>0.01568</v>
      </c>
      <c r="H37" s="85">
        <f>+'CE Emission Factor Calcs'!M37</f>
        <v>0.00196</v>
      </c>
      <c r="I37" s="165">
        <f>+'CE Emission Factor Calcs'!N37</f>
        <v>0.00098</v>
      </c>
      <c r="J37" s="182">
        <f t="shared" si="6"/>
        <v>0</v>
      </c>
      <c r="K37" s="182">
        <f t="shared" si="7"/>
        <v>0</v>
      </c>
      <c r="L37" s="182">
        <f t="shared" si="7"/>
        <v>0</v>
      </c>
      <c r="M37" s="182">
        <f t="shared" si="7"/>
        <v>0</v>
      </c>
      <c r="N37" s="183">
        <f t="shared" si="7"/>
        <v>0</v>
      </c>
    </row>
    <row r="38" spans="2:14" ht="13.5" thickBot="1">
      <c r="B38" s="83"/>
      <c r="C38" s="86"/>
      <c r="D38" s="86"/>
      <c r="E38" s="86"/>
      <c r="F38" s="86"/>
      <c r="G38" s="86"/>
      <c r="H38" s="86"/>
      <c r="I38" s="85"/>
      <c r="J38" s="85"/>
      <c r="K38" s="85"/>
      <c r="L38" s="85"/>
      <c r="M38" s="85"/>
      <c r="N38" s="85"/>
    </row>
    <row r="39" spans="2:14" ht="13.5" thickBot="1">
      <c r="B39" s="87" t="s">
        <v>86</v>
      </c>
      <c r="C39" s="88"/>
      <c r="D39" s="88"/>
      <c r="E39" s="88"/>
      <c r="F39" s="88"/>
      <c r="G39" s="88"/>
      <c r="H39" s="88"/>
      <c r="I39" s="88"/>
      <c r="J39" s="89">
        <f>SUM(J6:J37)</f>
        <v>1279.5774560000002</v>
      </c>
      <c r="K39" s="89">
        <f>SUM(K6:K37)</f>
        <v>102.77137599999999</v>
      </c>
      <c r="L39" s="184">
        <f>SUM(L6:L37)</f>
        <v>618.8648479999999</v>
      </c>
      <c r="M39" s="89">
        <f>SUM(M6:M37)</f>
        <v>57.758830399999994</v>
      </c>
      <c r="N39" s="92">
        <f>SUM(N6:N37)</f>
        <v>36.538475999999996</v>
      </c>
    </row>
    <row r="40" spans="2:14" ht="14.25" thickBot="1" thickTop="1">
      <c r="B40" s="93" t="s">
        <v>5</v>
      </c>
      <c r="C40" s="149"/>
      <c r="D40" s="90"/>
      <c r="E40" s="90"/>
      <c r="F40" s="10"/>
      <c r="G40" s="10"/>
      <c r="H40" s="10"/>
      <c r="I40" s="10"/>
      <c r="J40" s="146"/>
      <c r="K40" s="146"/>
      <c r="L40" s="146"/>
      <c r="M40" s="142"/>
      <c r="N40" s="143"/>
    </row>
    <row r="41" spans="10:14" ht="13.5" thickTop="1">
      <c r="J41" s="23"/>
      <c r="K41" s="23"/>
      <c r="L41" s="23"/>
      <c r="M41" s="23"/>
      <c r="N41" s="23"/>
    </row>
    <row r="42" ht="12.75">
      <c r="B42" s="13" t="s">
        <v>87</v>
      </c>
    </row>
    <row r="43" spans="2:5" ht="12.75">
      <c r="B43" s="13" t="s">
        <v>88</v>
      </c>
      <c r="E43" s="13" t="s">
        <v>89</v>
      </c>
    </row>
    <row r="44" ht="12.75">
      <c r="B44" s="13" t="s">
        <v>90</v>
      </c>
    </row>
    <row r="45" spans="2:6" ht="12.75">
      <c r="B45" s="13" t="s">
        <v>91</v>
      </c>
      <c r="C45" s="150"/>
      <c r="D45" s="13"/>
      <c r="E45" s="13"/>
      <c r="F45" s="91"/>
    </row>
    <row r="47" ht="12.75">
      <c r="N47" s="57"/>
    </row>
    <row r="48" ht="12.75">
      <c r="B48" s="13"/>
    </row>
  </sheetData>
  <sheetProtection/>
  <mergeCells count="2">
    <mergeCell ref="B2:N2"/>
    <mergeCell ref="A25:A26"/>
  </mergeCells>
  <conditionalFormatting sqref="M41:N41 J41">
    <cfRule type="cellIs" priority="1" dxfId="0" operator="greaterThanOrEqual" stopIfTrue="1">
      <formula>$J$42</formula>
    </cfRule>
  </conditionalFormatting>
  <conditionalFormatting sqref="L41">
    <cfRule type="cellIs" priority="2" dxfId="0" operator="greaterThanOrEqual" stopIfTrue="1">
      <formula>$L$42</formula>
    </cfRule>
  </conditionalFormatting>
  <conditionalFormatting sqref="K41">
    <cfRule type="cellIs" priority="3" dxfId="0" operator="greaterThanOrEqual" stopIfTrue="1">
      <formula>$K$42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B-4
Construction Equipment Emissions for the Ultramar Alkylation Improvement Project 
</oddHeader>
    <oddFooter>&amp;L&amp;8N:\\2185\&amp;F:&amp;A&amp;R&amp;8&amp;D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2"/>
  <dimension ref="A2:N47"/>
  <sheetViews>
    <sheetView zoomScalePageLayoutView="0" workbookViewId="0" topLeftCell="A2">
      <selection activeCell="A26" sqref="A26"/>
    </sheetView>
  </sheetViews>
  <sheetFormatPr defaultColWidth="9.140625" defaultRowHeight="12.75"/>
  <cols>
    <col min="2" max="2" width="36.7109375" style="0" customWidth="1"/>
    <col min="3" max="3" width="9.7109375" style="148" customWidth="1"/>
    <col min="7" max="7" width="9.00390625" style="0" customWidth="1"/>
  </cols>
  <sheetData>
    <row r="1" ht="12" customHeight="1"/>
    <row r="2" spans="2:14" ht="15.75" customHeight="1">
      <c r="B2" s="253" t="s">
        <v>340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3.5" thickBot="1"/>
    <row r="4" spans="2:14" ht="13.5" thickTop="1">
      <c r="B4" s="66" t="s">
        <v>65</v>
      </c>
      <c r="C4" s="67"/>
      <c r="D4" s="67" t="s">
        <v>66</v>
      </c>
      <c r="E4" s="68"/>
      <c r="F4" s="69" t="s">
        <v>67</v>
      </c>
      <c r="G4" s="69"/>
      <c r="H4" s="11"/>
      <c r="I4" s="70"/>
      <c r="J4" s="71"/>
      <c r="K4" s="69" t="s">
        <v>68</v>
      </c>
      <c r="L4" s="72"/>
      <c r="M4" s="73"/>
      <c r="N4" s="12"/>
    </row>
    <row r="5" spans="2:14" ht="13.5" thickBot="1">
      <c r="B5" s="74" t="s">
        <v>5</v>
      </c>
      <c r="C5" s="94" t="s">
        <v>38</v>
      </c>
      <c r="D5" s="75" t="s">
        <v>69</v>
      </c>
      <c r="E5" s="76" t="s">
        <v>0</v>
      </c>
      <c r="F5" s="76" t="s">
        <v>1</v>
      </c>
      <c r="G5" s="76" t="s">
        <v>2</v>
      </c>
      <c r="H5" s="76" t="s">
        <v>6</v>
      </c>
      <c r="I5" s="77" t="s">
        <v>3</v>
      </c>
      <c r="J5" s="78" t="s">
        <v>0</v>
      </c>
      <c r="K5" s="76" t="s">
        <v>1</v>
      </c>
      <c r="L5" s="76" t="s">
        <v>2</v>
      </c>
      <c r="M5" s="76" t="s">
        <v>6</v>
      </c>
      <c r="N5" s="79" t="s">
        <v>3</v>
      </c>
    </row>
    <row r="6" spans="2:14" ht="13.5" thickTop="1">
      <c r="B6" s="80" t="s">
        <v>70</v>
      </c>
      <c r="C6" s="81">
        <v>0</v>
      </c>
      <c r="D6" s="81">
        <v>8</v>
      </c>
      <c r="E6" s="157">
        <f>+'CE Emission Factor Calcs'!J6</f>
        <v>0.19535999999999998</v>
      </c>
      <c r="F6" s="157">
        <f>+'CE Emission Factor Calcs'!K6</f>
        <v>0.035519999999999996</v>
      </c>
      <c r="G6" s="157">
        <f>+'CE Emission Factor Calcs'!L6</f>
        <v>0.31967999999999996</v>
      </c>
      <c r="H6" s="157">
        <f>+'CE Emission Factor Calcs'!M6</f>
        <v>0.035519999999999996</v>
      </c>
      <c r="I6" s="157">
        <f>+'CE Emission Factor Calcs'!N6</f>
        <v>0.017759999999999998</v>
      </c>
      <c r="J6" s="82">
        <f>$C6*$D6*E6</f>
        <v>0</v>
      </c>
      <c r="K6" s="82">
        <f>$C6*$D6*F6</f>
        <v>0</v>
      </c>
      <c r="L6" s="82">
        <f>$C6*$D6*G6</f>
        <v>0</v>
      </c>
      <c r="M6" s="82">
        <f>$C6*$D6*H6</f>
        <v>0</v>
      </c>
      <c r="N6" s="82">
        <f>$C6*$D6*I6</f>
        <v>0</v>
      </c>
    </row>
    <row r="7" spans="2:14" ht="12.75">
      <c r="B7" s="83" t="s">
        <v>71</v>
      </c>
      <c r="C7" s="81">
        <v>0</v>
      </c>
      <c r="D7" s="81">
        <v>8</v>
      </c>
      <c r="E7" s="158">
        <f>'CE Emission Factor Calcs'!J7</f>
        <v>0.551025</v>
      </c>
      <c r="F7" s="157">
        <f>+'CE Emission Factor Calcs'!K7</f>
        <v>0.110205</v>
      </c>
      <c r="G7" s="157">
        <f>+'CE Emission Factor Calcs'!L7</f>
        <v>0.8081699999999999</v>
      </c>
      <c r="H7" s="157">
        <f>+'CE Emission Factor Calcs'!M7</f>
        <v>0.07347</v>
      </c>
      <c r="I7" s="157">
        <f>+'CE Emission Factor Calcs'!N7</f>
        <v>0.036735</v>
      </c>
      <c r="J7" s="82">
        <f aca="true" t="shared" si="0" ref="J7:J23">C7*D7*E7</f>
        <v>0</v>
      </c>
      <c r="K7" s="82">
        <f aca="true" t="shared" si="1" ref="K7:K23">$C7*$D7*F7</f>
        <v>0</v>
      </c>
      <c r="L7" s="82">
        <f aca="true" t="shared" si="2" ref="L7:L23">$C7*$D7*G7</f>
        <v>0</v>
      </c>
      <c r="M7" s="82">
        <f aca="true" t="shared" si="3" ref="M7:M23">$C7*$D7*H7</f>
        <v>0</v>
      </c>
      <c r="N7" s="82">
        <f aca="true" t="shared" si="4" ref="N7:N23">$C7*$D7*I7</f>
        <v>0</v>
      </c>
    </row>
    <row r="8" spans="2:14" ht="12.75">
      <c r="B8" s="80" t="s">
        <v>72</v>
      </c>
      <c r="C8" s="18">
        <v>0</v>
      </c>
      <c r="D8" s="81">
        <v>8</v>
      </c>
      <c r="E8" s="158">
        <f>'CE Emission Factor Calcs'!J8</f>
        <v>0.667821</v>
      </c>
      <c r="F8" s="157">
        <f>+'CE Emission Factor Calcs'!K8</f>
        <v>0.121422</v>
      </c>
      <c r="G8" s="157">
        <f>+'CE Emission Factor Calcs'!L8</f>
        <v>1.396353</v>
      </c>
      <c r="H8" s="157">
        <f>+'CE Emission Factor Calcs'!M8</f>
        <v>0.121422</v>
      </c>
      <c r="I8" s="157">
        <f>+'CE Emission Factor Calcs'!N8</f>
        <v>0.060711</v>
      </c>
      <c r="J8" s="82">
        <f t="shared" si="0"/>
        <v>0</v>
      </c>
      <c r="K8" s="82">
        <f t="shared" si="1"/>
        <v>0</v>
      </c>
      <c r="L8" s="82">
        <f t="shared" si="2"/>
        <v>0</v>
      </c>
      <c r="M8" s="82">
        <f t="shared" si="3"/>
        <v>0</v>
      </c>
      <c r="N8" s="82">
        <f t="shared" si="4"/>
        <v>0</v>
      </c>
    </row>
    <row r="9" spans="2:14" ht="12.75">
      <c r="B9" s="80" t="s">
        <v>158</v>
      </c>
      <c r="C9" s="18">
        <v>0</v>
      </c>
      <c r="D9" s="81">
        <v>8</v>
      </c>
      <c r="E9" s="158">
        <f>'CE Emission Factor Calcs'!J9</f>
        <v>0.656502</v>
      </c>
      <c r="F9" s="157">
        <f>+'CE Emission Factor Calcs'!K9</f>
        <v>0.11936400000000001</v>
      </c>
      <c r="G9" s="157">
        <f>+'CE Emission Factor Calcs'!L9</f>
        <v>1.372686</v>
      </c>
      <c r="H9" s="157">
        <f>+'CE Emission Factor Calcs'!M9</f>
        <v>0.11936400000000001</v>
      </c>
      <c r="I9" s="157">
        <f>+'CE Emission Factor Calcs'!N9</f>
        <v>0.059682000000000006</v>
      </c>
      <c r="J9" s="82">
        <f t="shared" si="0"/>
        <v>0</v>
      </c>
      <c r="K9" s="82">
        <f t="shared" si="1"/>
        <v>0</v>
      </c>
      <c r="L9" s="82">
        <f t="shared" si="2"/>
        <v>0</v>
      </c>
      <c r="M9" s="82">
        <f t="shared" si="3"/>
        <v>0</v>
      </c>
      <c r="N9" s="82">
        <f t="shared" si="4"/>
        <v>0</v>
      </c>
    </row>
    <row r="10" spans="2:14" ht="12.75">
      <c r="B10" s="80" t="s">
        <v>74</v>
      </c>
      <c r="C10" s="18">
        <v>0</v>
      </c>
      <c r="D10" s="81">
        <v>8</v>
      </c>
      <c r="E10" s="157">
        <f>+'CE Emission Factor Calcs'!J10</f>
        <v>2.8552</v>
      </c>
      <c r="F10" s="157">
        <f>+'CE Emission Factor Calcs'!K10</f>
        <v>0.14792</v>
      </c>
      <c r="G10" s="157">
        <f>+'CE Emission Factor Calcs'!L10</f>
        <v>0.01376</v>
      </c>
      <c r="H10" s="157">
        <f>+'CE Emission Factor Calcs'!M10</f>
        <v>0.00172</v>
      </c>
      <c r="I10" s="157">
        <f>+'CE Emission Factor Calcs'!N10</f>
        <v>0.000172</v>
      </c>
      <c r="J10" s="82">
        <f t="shared" si="0"/>
        <v>0</v>
      </c>
      <c r="K10" s="82">
        <f t="shared" si="1"/>
        <v>0</v>
      </c>
      <c r="L10" s="82">
        <f t="shared" si="2"/>
        <v>0</v>
      </c>
      <c r="M10" s="82">
        <f t="shared" si="3"/>
        <v>0</v>
      </c>
      <c r="N10" s="82">
        <f t="shared" si="4"/>
        <v>0</v>
      </c>
    </row>
    <row r="11" spans="2:14" ht="12.75">
      <c r="B11" s="80" t="s">
        <v>75</v>
      </c>
      <c r="C11" s="18">
        <v>1</v>
      </c>
      <c r="D11" s="81">
        <v>8</v>
      </c>
      <c r="E11" s="157">
        <f>+'CE Emission Factor Calcs'!J11</f>
        <v>0.75078</v>
      </c>
      <c r="F11" s="157">
        <f>+'CE Emission Factor Calcs'!K11</f>
        <v>0.25026000000000004</v>
      </c>
      <c r="G11" s="157">
        <f>+'CE Emission Factor Calcs'!L11</f>
        <v>1.91866</v>
      </c>
      <c r="H11" s="157">
        <f>+'CE Emission Factor Calcs'!M11</f>
        <v>0.16684000000000002</v>
      </c>
      <c r="I11" s="157">
        <f>+'CE Emission Factor Calcs'!N11</f>
        <v>0.12513000000000002</v>
      </c>
      <c r="J11" s="82">
        <f t="shared" si="0"/>
        <v>6.00624</v>
      </c>
      <c r="K11" s="82">
        <f t="shared" si="1"/>
        <v>2.0020800000000003</v>
      </c>
      <c r="L11" s="82">
        <f t="shared" si="2"/>
        <v>15.34928</v>
      </c>
      <c r="M11" s="82">
        <f t="shared" si="3"/>
        <v>1.3347200000000001</v>
      </c>
      <c r="N11" s="82">
        <f t="shared" si="4"/>
        <v>1.0010400000000002</v>
      </c>
    </row>
    <row r="12" spans="2:14" ht="12.75">
      <c r="B12" s="80" t="s">
        <v>125</v>
      </c>
      <c r="C12" s="18">
        <v>0</v>
      </c>
      <c r="D12" s="81">
        <v>8</v>
      </c>
      <c r="E12" s="157">
        <f>+'CE Emission Factor Calcs'!J13</f>
        <v>0.05244</v>
      </c>
      <c r="F12" s="157">
        <f>+'CE Emission Factor Calcs'!K13</f>
        <v>0.017480000000000002</v>
      </c>
      <c r="G12" s="157">
        <f>+'CE Emission Factor Calcs'!L13</f>
        <v>0.18354</v>
      </c>
      <c r="H12" s="157">
        <f>+'CE Emission Factor Calcs'!M13</f>
        <v>0.017480000000000002</v>
      </c>
      <c r="I12" s="157">
        <f>+'CE Emission Factor Calcs'!N13</f>
        <v>0.01311</v>
      </c>
      <c r="J12" s="82">
        <f t="shared" si="0"/>
        <v>0</v>
      </c>
      <c r="K12" s="82">
        <f t="shared" si="1"/>
        <v>0</v>
      </c>
      <c r="L12" s="82">
        <f t="shared" si="2"/>
        <v>0</v>
      </c>
      <c r="M12" s="82">
        <f t="shared" si="3"/>
        <v>0</v>
      </c>
      <c r="N12" s="82">
        <f t="shared" si="4"/>
        <v>0</v>
      </c>
    </row>
    <row r="13" spans="2:14" ht="12.75">
      <c r="B13" s="80" t="s">
        <v>126</v>
      </c>
      <c r="C13" s="18">
        <v>0</v>
      </c>
      <c r="D13" s="81">
        <v>8</v>
      </c>
      <c r="E13" s="157">
        <f>+'CE Emission Factor Calcs'!J14</f>
        <v>0.05244</v>
      </c>
      <c r="F13" s="157">
        <f>+'CE Emission Factor Calcs'!K14</f>
        <v>0.017480000000000002</v>
      </c>
      <c r="G13" s="157">
        <f>+'CE Emission Factor Calcs'!L14</f>
        <v>0.18354</v>
      </c>
      <c r="H13" s="157">
        <f>+'CE Emission Factor Calcs'!M14</f>
        <v>0.017480000000000002</v>
      </c>
      <c r="I13" s="157">
        <f>+'CE Emission Factor Calcs'!N14</f>
        <v>0.01311</v>
      </c>
      <c r="J13" s="82">
        <f t="shared" si="0"/>
        <v>0</v>
      </c>
      <c r="K13" s="82">
        <f t="shared" si="1"/>
        <v>0</v>
      </c>
      <c r="L13" s="82">
        <f t="shared" si="2"/>
        <v>0</v>
      </c>
      <c r="M13" s="82">
        <f t="shared" si="3"/>
        <v>0</v>
      </c>
      <c r="N13" s="82">
        <f t="shared" si="4"/>
        <v>0</v>
      </c>
    </row>
    <row r="14" spans="2:14" ht="12.75">
      <c r="B14" s="80" t="s">
        <v>127</v>
      </c>
      <c r="C14" s="18">
        <v>0</v>
      </c>
      <c r="D14" s="81">
        <v>8</v>
      </c>
      <c r="E14" s="157">
        <f>+'CE Emission Factor Calcs'!J15</f>
        <v>0.05244</v>
      </c>
      <c r="F14" s="157">
        <f>+'CE Emission Factor Calcs'!K15</f>
        <v>0.017480000000000002</v>
      </c>
      <c r="G14" s="157">
        <f>+'CE Emission Factor Calcs'!L15</f>
        <v>0.18354</v>
      </c>
      <c r="H14" s="157">
        <f>+'CE Emission Factor Calcs'!M15</f>
        <v>0.017480000000000002</v>
      </c>
      <c r="I14" s="157">
        <f>+'CE Emission Factor Calcs'!N15</f>
        <v>0.01311</v>
      </c>
      <c r="J14" s="82">
        <f t="shared" si="0"/>
        <v>0</v>
      </c>
      <c r="K14" s="82">
        <f t="shared" si="1"/>
        <v>0</v>
      </c>
      <c r="L14" s="82">
        <f t="shared" si="2"/>
        <v>0</v>
      </c>
      <c r="M14" s="82">
        <f t="shared" si="3"/>
        <v>0</v>
      </c>
      <c r="N14" s="82">
        <f t="shared" si="4"/>
        <v>0</v>
      </c>
    </row>
    <row r="15" spans="2:14" ht="12.75">
      <c r="B15" s="80" t="s">
        <v>154</v>
      </c>
      <c r="C15" s="18">
        <v>2</v>
      </c>
      <c r="D15" s="81">
        <v>8</v>
      </c>
      <c r="E15" s="157">
        <f>+'CE Emission Factor Calcs'!J16</f>
        <v>3.0627</v>
      </c>
      <c r="F15" s="157">
        <f>+'CE Emission Factor Calcs'!K16</f>
        <v>0.15866999999999998</v>
      </c>
      <c r="G15" s="157">
        <f>+'CE Emission Factor Calcs'!L16</f>
        <v>0.01476</v>
      </c>
      <c r="H15" s="157">
        <f>+'CE Emission Factor Calcs'!M16</f>
        <v>0.001845</v>
      </c>
      <c r="I15" s="157">
        <f>+'CE Emission Factor Calcs'!N16</f>
        <v>0.0009225</v>
      </c>
      <c r="J15" s="82">
        <f t="shared" si="0"/>
        <v>49.0032</v>
      </c>
      <c r="K15" s="82">
        <f t="shared" si="1"/>
        <v>2.5387199999999996</v>
      </c>
      <c r="L15" s="82">
        <f t="shared" si="2"/>
        <v>0.23616</v>
      </c>
      <c r="M15" s="82">
        <f t="shared" si="3"/>
        <v>0.02952</v>
      </c>
      <c r="N15" s="82">
        <f t="shared" si="4"/>
        <v>0.01476</v>
      </c>
    </row>
    <row r="16" spans="2:14" ht="12.75">
      <c r="B16" s="80" t="s">
        <v>160</v>
      </c>
      <c r="C16" s="18">
        <v>0</v>
      </c>
      <c r="D16" s="81">
        <v>8</v>
      </c>
      <c r="E16" s="157">
        <f>+'CE Emission Factor Calcs'!J17</f>
        <v>1.8</v>
      </c>
      <c r="F16" s="157">
        <f>+'CE Emission Factor Calcs'!K17</f>
        <v>0.19</v>
      </c>
      <c r="G16" s="157">
        <f>+'CE Emission Factor Calcs'!L17</f>
        <v>4.17</v>
      </c>
      <c r="H16" s="157">
        <f>+'CE Emission Factor Calcs'!M17</f>
        <v>0.45</v>
      </c>
      <c r="I16" s="157">
        <f>+'CE Emission Factor Calcs'!N17</f>
        <v>0.26</v>
      </c>
      <c r="J16" s="82">
        <f t="shared" si="0"/>
        <v>0</v>
      </c>
      <c r="K16" s="82">
        <f t="shared" si="1"/>
        <v>0</v>
      </c>
      <c r="L16" s="82">
        <f t="shared" si="2"/>
        <v>0</v>
      </c>
      <c r="M16" s="82">
        <f t="shared" si="3"/>
        <v>0</v>
      </c>
      <c r="N16" s="82">
        <f t="shared" si="4"/>
        <v>0</v>
      </c>
    </row>
    <row r="17" spans="2:14" ht="12.75">
      <c r="B17" s="80" t="s">
        <v>166</v>
      </c>
      <c r="C17" s="18">
        <v>0</v>
      </c>
      <c r="D17" s="81">
        <v>8</v>
      </c>
      <c r="E17" s="157">
        <f>+'CE Emission Factor Calcs'!J18</f>
        <v>3.58</v>
      </c>
      <c r="F17" s="157">
        <f>+'CE Emission Factor Calcs'!K18</f>
        <v>0.18</v>
      </c>
      <c r="G17" s="157">
        <f>+'CE Emission Factor Calcs'!L18</f>
        <v>1.27</v>
      </c>
      <c r="H17" s="157">
        <f>+'CE Emission Factor Calcs'!M18</f>
        <v>0.09</v>
      </c>
      <c r="I17" s="157">
        <f>+'CE Emission Factor Calcs'!N18</f>
        <v>0.14</v>
      </c>
      <c r="J17" s="82">
        <f t="shared" si="0"/>
        <v>0</v>
      </c>
      <c r="K17" s="82">
        <f t="shared" si="1"/>
        <v>0</v>
      </c>
      <c r="L17" s="82">
        <f t="shared" si="2"/>
        <v>0</v>
      </c>
      <c r="M17" s="82">
        <f t="shared" si="3"/>
        <v>0</v>
      </c>
      <c r="N17" s="82">
        <f t="shared" si="4"/>
        <v>0</v>
      </c>
    </row>
    <row r="18" spans="2:14" ht="12.75">
      <c r="B18" s="80" t="s">
        <v>76</v>
      </c>
      <c r="C18" s="18">
        <v>0</v>
      </c>
      <c r="D18" s="81">
        <v>8</v>
      </c>
      <c r="E18" s="157">
        <f>+'CE Emission Factor Calcs'!J19</f>
        <v>0.572</v>
      </c>
      <c r="F18" s="157">
        <f>+'CE Emission Factor Calcs'!K19</f>
        <v>0.23</v>
      </c>
      <c r="G18" s="157">
        <f>+'CE Emission Factor Calcs'!L19</f>
        <v>1.9</v>
      </c>
      <c r="H18" s="157">
        <f>+'CE Emission Factor Calcs'!M19</f>
        <v>0.182</v>
      </c>
      <c r="I18" s="157">
        <f>+'CE Emission Factor Calcs'!N19</f>
        <v>0.17</v>
      </c>
      <c r="J18" s="82">
        <f t="shared" si="0"/>
        <v>0</v>
      </c>
      <c r="K18" s="82">
        <f t="shared" si="1"/>
        <v>0</v>
      </c>
      <c r="L18" s="82">
        <f t="shared" si="2"/>
        <v>0</v>
      </c>
      <c r="M18" s="82">
        <f t="shared" si="3"/>
        <v>0</v>
      </c>
      <c r="N18" s="82">
        <f t="shared" si="4"/>
        <v>0</v>
      </c>
    </row>
    <row r="19" spans="2:14" ht="12.75">
      <c r="B19" s="80" t="s">
        <v>77</v>
      </c>
      <c r="C19" s="18">
        <v>0</v>
      </c>
      <c r="D19" s="81">
        <v>8</v>
      </c>
      <c r="E19" s="157">
        <f>+'CE Emission Factor Calcs'!J20</f>
        <v>0.28229499999999996</v>
      </c>
      <c r="F19" s="157">
        <f>+'CE Emission Factor Calcs'!K20</f>
        <v>0.065145</v>
      </c>
      <c r="G19" s="157">
        <f>+'CE Emission Factor Calcs'!L20</f>
        <v>0.673165</v>
      </c>
      <c r="H19" s="157">
        <f>+'CE Emission Factor Calcs'!M20</f>
        <v>0.04343</v>
      </c>
      <c r="I19" s="157">
        <f>+'CE Emission Factor Calcs'!N20</f>
        <v>0.0325725</v>
      </c>
      <c r="J19" s="82">
        <f t="shared" si="0"/>
        <v>0</v>
      </c>
      <c r="K19" s="82">
        <f t="shared" si="1"/>
        <v>0</v>
      </c>
      <c r="L19" s="82">
        <f t="shared" si="2"/>
        <v>0</v>
      </c>
      <c r="M19" s="82">
        <f t="shared" si="3"/>
        <v>0</v>
      </c>
      <c r="N19" s="82">
        <f t="shared" si="4"/>
        <v>0</v>
      </c>
    </row>
    <row r="20" spans="2:14" ht="12.75">
      <c r="B20" s="80" t="s">
        <v>78</v>
      </c>
      <c r="C20" s="18">
        <v>0</v>
      </c>
      <c r="D20" s="81">
        <v>8</v>
      </c>
      <c r="E20" s="157">
        <f>+'CE Emission Factor Calcs'!J21</f>
        <v>0.151</v>
      </c>
      <c r="F20" s="157">
        <f>+'CE Emission Factor Calcs'!K21</f>
        <v>0.039</v>
      </c>
      <c r="G20" s="157">
        <f>+'CE Emission Factor Calcs'!L21</f>
        <v>0.713</v>
      </c>
      <c r="H20" s="157">
        <f>+'CE Emission Factor Calcs'!M21</f>
        <v>0.086</v>
      </c>
      <c r="I20" s="157">
        <f>+'CE Emission Factor Calcs'!N21</f>
        <v>0.061</v>
      </c>
      <c r="J20" s="82">
        <f t="shared" si="0"/>
        <v>0</v>
      </c>
      <c r="K20" s="82">
        <f t="shared" si="1"/>
        <v>0</v>
      </c>
      <c r="L20" s="82">
        <f t="shared" si="2"/>
        <v>0</v>
      </c>
      <c r="M20" s="82">
        <f t="shared" si="3"/>
        <v>0</v>
      </c>
      <c r="N20" s="82">
        <f t="shared" si="4"/>
        <v>0</v>
      </c>
    </row>
    <row r="21" spans="2:14" ht="12.75">
      <c r="B21" s="80" t="s">
        <v>79</v>
      </c>
      <c r="C21" s="18">
        <v>0</v>
      </c>
      <c r="D21" s="81">
        <v>8</v>
      </c>
      <c r="E21" s="157">
        <f>+'CE Emission Factor Calcs'!J22</f>
        <v>0.8059999999999999</v>
      </c>
      <c r="F21" s="157">
        <f>+'CE Emission Factor Calcs'!K22</f>
        <v>0.16119999999999998</v>
      </c>
      <c r="G21" s="157">
        <f>+'CE Emission Factor Calcs'!L22</f>
        <v>1.7731999999999997</v>
      </c>
      <c r="H21" s="157">
        <f>+'CE Emission Factor Calcs'!M22</f>
        <v>0.16119999999999998</v>
      </c>
      <c r="I21" s="157">
        <f>+'CE Emission Factor Calcs'!N22</f>
        <v>0.08059999999999999</v>
      </c>
      <c r="J21" s="82">
        <f t="shared" si="0"/>
        <v>0</v>
      </c>
      <c r="K21" s="82">
        <f t="shared" si="1"/>
        <v>0</v>
      </c>
      <c r="L21" s="82">
        <f t="shared" si="2"/>
        <v>0</v>
      </c>
      <c r="M21" s="82">
        <f t="shared" si="3"/>
        <v>0</v>
      </c>
      <c r="N21" s="82">
        <f t="shared" si="4"/>
        <v>0</v>
      </c>
    </row>
    <row r="22" spans="2:14" ht="12.75">
      <c r="B22" s="80" t="s">
        <v>80</v>
      </c>
      <c r="C22" s="18">
        <v>0</v>
      </c>
      <c r="D22" s="81">
        <v>8</v>
      </c>
      <c r="E22" s="157">
        <f>+'CE Emission Factor Calcs'!J23</f>
        <v>0.675</v>
      </c>
      <c r="F22" s="157">
        <f>+'CE Emission Factor Calcs'!K23</f>
        <v>0.15</v>
      </c>
      <c r="G22" s="157">
        <f>+'CE Emission Factor Calcs'!L23</f>
        <v>1.7</v>
      </c>
      <c r="H22" s="157">
        <f>+'CE Emission Factor Calcs'!M23</f>
        <v>0.143</v>
      </c>
      <c r="I22" s="157">
        <f>+'CE Emission Factor Calcs'!N23</f>
        <v>0.14</v>
      </c>
      <c r="J22" s="82">
        <f t="shared" si="0"/>
        <v>0</v>
      </c>
      <c r="K22" s="82">
        <f t="shared" si="1"/>
        <v>0</v>
      </c>
      <c r="L22" s="82">
        <f t="shared" si="2"/>
        <v>0</v>
      </c>
      <c r="M22" s="82">
        <f t="shared" si="3"/>
        <v>0</v>
      </c>
      <c r="N22" s="82">
        <f t="shared" si="4"/>
        <v>0</v>
      </c>
    </row>
    <row r="23" spans="2:14" ht="12.75">
      <c r="B23" s="80" t="s">
        <v>81</v>
      </c>
      <c r="C23" s="18">
        <v>0</v>
      </c>
      <c r="D23" s="81">
        <v>8</v>
      </c>
      <c r="E23" s="157">
        <f>+'CE Emission Factor Calcs'!J24</f>
        <v>0.834</v>
      </c>
      <c r="F23" s="157">
        <f>+'CE Emission Factor Calcs'!K24</f>
        <v>0.1251</v>
      </c>
      <c r="G23" s="157">
        <f>+'CE Emission Factor Calcs'!L24</f>
        <v>0.9173999999999999</v>
      </c>
      <c r="H23" s="157">
        <f>+'CE Emission Factor Calcs'!M24</f>
        <v>0.08339999999999999</v>
      </c>
      <c r="I23" s="157">
        <f>+'CE Emission Factor Calcs'!N24</f>
        <v>0.06255</v>
      </c>
      <c r="J23" s="82">
        <f t="shared" si="0"/>
        <v>0</v>
      </c>
      <c r="K23" s="82">
        <f t="shared" si="1"/>
        <v>0</v>
      </c>
      <c r="L23" s="82">
        <f t="shared" si="2"/>
        <v>0</v>
      </c>
      <c r="M23" s="82">
        <f t="shared" si="3"/>
        <v>0</v>
      </c>
      <c r="N23" s="82">
        <f t="shared" si="4"/>
        <v>0</v>
      </c>
    </row>
    <row r="24" spans="1:14" ht="12.75">
      <c r="A24" s="254" t="s">
        <v>198</v>
      </c>
      <c r="B24" s="80"/>
      <c r="C24" s="18"/>
      <c r="D24" s="81"/>
      <c r="E24" s="157"/>
      <c r="F24" s="157"/>
      <c r="G24" s="157"/>
      <c r="H24" s="157"/>
      <c r="I24" s="157"/>
      <c r="J24" s="82"/>
      <c r="K24" s="82"/>
      <c r="L24" s="82"/>
      <c r="M24" s="82"/>
      <c r="N24" s="82"/>
    </row>
    <row r="25" spans="1:14" ht="12.75">
      <c r="A25" s="254"/>
      <c r="B25" s="80" t="s">
        <v>167</v>
      </c>
      <c r="C25" s="18">
        <v>0</v>
      </c>
      <c r="D25" s="81">
        <v>8</v>
      </c>
      <c r="E25" s="157">
        <f>+'CE Emission Factor Calcs'!J26</f>
        <v>0.9718499999999999</v>
      </c>
      <c r="F25" s="157">
        <f>+'CE Emission Factor Calcs'!K26</f>
        <v>0.132525</v>
      </c>
      <c r="G25" s="157">
        <f>+'CE Emission Factor Calcs'!L26</f>
        <v>0.7951499999999999</v>
      </c>
      <c r="H25" s="157">
        <f>+'CE Emission Factor Calcs'!M26</f>
        <v>0.08835</v>
      </c>
      <c r="I25" s="157">
        <f>+'CE Emission Factor Calcs'!N26</f>
        <v>0.0662625</v>
      </c>
      <c r="J25" s="82">
        <f>C25*D25*E25</f>
        <v>0</v>
      </c>
      <c r="K25" s="82">
        <f aca="true" t="shared" si="5" ref="K25:N27">$C25*$D25*F25</f>
        <v>0</v>
      </c>
      <c r="L25" s="82">
        <f t="shared" si="5"/>
        <v>0</v>
      </c>
      <c r="M25" s="82">
        <f t="shared" si="5"/>
        <v>0</v>
      </c>
      <c r="N25" s="82">
        <f t="shared" si="5"/>
        <v>0</v>
      </c>
    </row>
    <row r="26" spans="2:14" ht="12.75">
      <c r="B26" s="80" t="s">
        <v>82</v>
      </c>
      <c r="C26" s="18">
        <v>0</v>
      </c>
      <c r="D26" s="81">
        <v>8</v>
      </c>
      <c r="E26" s="157">
        <f>+'CE Emission Factor Calcs'!J27</f>
        <v>12.973788</v>
      </c>
      <c r="F26" s="157">
        <f>+'CE Emission Factor Calcs'!K27</f>
        <v>0.473688</v>
      </c>
      <c r="G26" s="157">
        <f>+'CE Emission Factor Calcs'!L27</f>
        <v>0.017544</v>
      </c>
      <c r="H26" s="157">
        <f>+'CE Emission Factor Calcs'!M27</f>
        <v>0.0052632</v>
      </c>
      <c r="I26" s="157">
        <f>+'CE Emission Factor Calcs'!N27</f>
        <v>0.002193</v>
      </c>
      <c r="J26" s="82">
        <f>C26*D26*E26</f>
        <v>0</v>
      </c>
      <c r="K26" s="82">
        <f t="shared" si="5"/>
        <v>0</v>
      </c>
      <c r="L26" s="82">
        <f t="shared" si="5"/>
        <v>0</v>
      </c>
      <c r="M26" s="82">
        <f t="shared" si="5"/>
        <v>0</v>
      </c>
      <c r="N26" s="82">
        <f t="shared" si="5"/>
        <v>0</v>
      </c>
    </row>
    <row r="27" spans="2:14" ht="12.75">
      <c r="B27" s="80" t="s">
        <v>83</v>
      </c>
      <c r="C27" s="18">
        <v>0</v>
      </c>
      <c r="D27" s="81">
        <v>8</v>
      </c>
      <c r="E27" s="157">
        <f>+'CE Emission Factor Calcs'!J28</f>
        <v>0.17325</v>
      </c>
      <c r="F27" s="157">
        <f>+'CE Emission Factor Calcs'!K28</f>
        <v>0.0315</v>
      </c>
      <c r="G27" s="157">
        <f>+'CE Emission Factor Calcs'!L28</f>
        <v>0.2835</v>
      </c>
      <c r="H27" s="157">
        <f>+'CE Emission Factor Calcs'!M28</f>
        <v>0.0315</v>
      </c>
      <c r="I27" s="157">
        <f>+'CE Emission Factor Calcs'!N28</f>
        <v>0.01575</v>
      </c>
      <c r="J27" s="82">
        <f>C27*D27*E27</f>
        <v>0</v>
      </c>
      <c r="K27" s="82">
        <f t="shared" si="5"/>
        <v>0</v>
      </c>
      <c r="L27" s="82">
        <f t="shared" si="5"/>
        <v>0</v>
      </c>
      <c r="M27" s="82">
        <f t="shared" si="5"/>
        <v>0</v>
      </c>
      <c r="N27" s="82">
        <f t="shared" si="5"/>
        <v>0</v>
      </c>
    </row>
    <row r="28" spans="2:14" ht="12.75">
      <c r="B28" s="80"/>
      <c r="C28" s="18"/>
      <c r="D28" s="81"/>
      <c r="E28" s="157"/>
      <c r="F28" s="157"/>
      <c r="G28" s="157"/>
      <c r="H28" s="157"/>
      <c r="I28" s="157"/>
      <c r="J28" s="82"/>
      <c r="K28" s="82"/>
      <c r="L28" s="82"/>
      <c r="M28" s="82"/>
      <c r="N28" s="82"/>
    </row>
    <row r="29" spans="2:14" ht="12.75">
      <c r="B29" s="80"/>
      <c r="C29" s="18"/>
      <c r="D29" s="81"/>
      <c r="E29" s="157"/>
      <c r="F29" s="157"/>
      <c r="G29" s="157"/>
      <c r="H29" s="157"/>
      <c r="I29" s="157"/>
      <c r="J29" s="82"/>
      <c r="K29" s="82"/>
      <c r="L29" s="82"/>
      <c r="M29" s="82"/>
      <c r="N29" s="82"/>
    </row>
    <row r="30" spans="2:14" ht="12.75">
      <c r="B30" s="80" t="s">
        <v>157</v>
      </c>
      <c r="C30" s="18">
        <v>0</v>
      </c>
      <c r="D30" s="81">
        <v>8</v>
      </c>
      <c r="E30" s="157">
        <f>+'CE Emission Factor Calcs'!J31</f>
        <v>3.2536</v>
      </c>
      <c r="F30" s="157">
        <f>+'CE Emission Factor Calcs'!K31</f>
        <v>0.15680000000000002</v>
      </c>
      <c r="G30" s="157">
        <f>+'CE Emission Factor Calcs'!L31</f>
        <v>0.015680000000000003</v>
      </c>
      <c r="H30" s="157">
        <f>+'CE Emission Factor Calcs'!M31</f>
        <v>0.0019600000000000004</v>
      </c>
      <c r="I30" s="157">
        <f>+'CE Emission Factor Calcs'!N31</f>
        <v>0.0009800000000000002</v>
      </c>
      <c r="J30" s="82">
        <f aca="true" t="shared" si="6" ref="J30:J36">C30*D30*E30</f>
        <v>0</v>
      </c>
      <c r="K30" s="82">
        <f aca="true" t="shared" si="7" ref="K30:N36">$C30*$D30*F30</f>
        <v>0</v>
      </c>
      <c r="L30" s="82">
        <f t="shared" si="7"/>
        <v>0</v>
      </c>
      <c r="M30" s="82">
        <f t="shared" si="7"/>
        <v>0</v>
      </c>
      <c r="N30" s="82">
        <f t="shared" si="7"/>
        <v>0</v>
      </c>
    </row>
    <row r="31" spans="2:14" ht="12.75">
      <c r="B31" s="80" t="s">
        <v>322</v>
      </c>
      <c r="C31" s="18">
        <v>0</v>
      </c>
      <c r="D31" s="81">
        <v>8</v>
      </c>
      <c r="E31" s="157">
        <f>+'CE Emission Factor Calcs'!J32</f>
        <v>1.826</v>
      </c>
      <c r="F31" s="157">
        <f>+'CE Emission Factor Calcs'!K32</f>
        <v>0.0946</v>
      </c>
      <c r="G31" s="157">
        <f>+'CE Emission Factor Calcs'!L32</f>
        <v>0.0088</v>
      </c>
      <c r="H31" s="157">
        <f>+'CE Emission Factor Calcs'!M32</f>
        <v>0.0011</v>
      </c>
      <c r="I31" s="157">
        <f>+'CE Emission Factor Calcs'!N32</f>
        <v>0.00055</v>
      </c>
      <c r="J31" s="82">
        <f t="shared" si="6"/>
        <v>0</v>
      </c>
      <c r="K31" s="82">
        <f t="shared" si="7"/>
        <v>0</v>
      </c>
      <c r="L31" s="82">
        <f t="shared" si="7"/>
        <v>0</v>
      </c>
      <c r="M31" s="82">
        <f t="shared" si="7"/>
        <v>0</v>
      </c>
      <c r="N31" s="82">
        <f t="shared" si="7"/>
        <v>0</v>
      </c>
    </row>
    <row r="32" spans="2:14" ht="12.75">
      <c r="B32" s="80" t="s">
        <v>168</v>
      </c>
      <c r="C32" s="18">
        <v>0</v>
      </c>
      <c r="D32" s="81">
        <v>8</v>
      </c>
      <c r="E32" s="157">
        <f>+'CE Emission Factor Calcs'!J33</f>
        <v>0.3</v>
      </c>
      <c r="F32" s="157">
        <f>+'CE Emission Factor Calcs'!K33</f>
        <v>0.065</v>
      </c>
      <c r="G32" s="157">
        <f>+'CE Emission Factor Calcs'!L33</f>
        <v>0.87</v>
      </c>
      <c r="H32" s="157">
        <f>+'CE Emission Factor Calcs'!M33</f>
        <v>0.067</v>
      </c>
      <c r="I32" s="157">
        <f>+'CE Emission Factor Calcs'!N33</f>
        <v>0.05</v>
      </c>
      <c r="J32" s="82">
        <f t="shared" si="6"/>
        <v>0</v>
      </c>
      <c r="K32" s="82">
        <f t="shared" si="7"/>
        <v>0</v>
      </c>
      <c r="L32" s="82">
        <f t="shared" si="7"/>
        <v>0</v>
      </c>
      <c r="M32" s="82">
        <f t="shared" si="7"/>
        <v>0</v>
      </c>
      <c r="N32" s="82">
        <f t="shared" si="7"/>
        <v>0</v>
      </c>
    </row>
    <row r="33" spans="2:14" ht="12.75">
      <c r="B33" s="80" t="s">
        <v>155</v>
      </c>
      <c r="C33" s="18">
        <v>0</v>
      </c>
      <c r="D33" s="81">
        <v>8</v>
      </c>
      <c r="E33" s="157">
        <f>+'CE Emission Factor Calcs'!J34</f>
        <v>13.41</v>
      </c>
      <c r="F33" s="157">
        <f>+'CE Emission Factor Calcs'!K34</f>
        <v>0.59</v>
      </c>
      <c r="G33" s="157">
        <f>+'CE Emission Factor Calcs'!L34</f>
        <v>0.362</v>
      </c>
      <c r="H33" s="157">
        <f>+'CE Emission Factor Calcs'!M34</f>
        <v>0.0185</v>
      </c>
      <c r="I33" s="157">
        <f>+'CE Emission Factor Calcs'!N34</f>
        <v>0.026</v>
      </c>
      <c r="J33" s="82">
        <f t="shared" si="6"/>
        <v>0</v>
      </c>
      <c r="K33" s="82">
        <f t="shared" si="7"/>
        <v>0</v>
      </c>
      <c r="L33" s="82">
        <f t="shared" si="7"/>
        <v>0</v>
      </c>
      <c r="M33" s="82">
        <f t="shared" si="7"/>
        <v>0</v>
      </c>
      <c r="N33" s="82">
        <f t="shared" si="7"/>
        <v>0</v>
      </c>
    </row>
    <row r="34" spans="2:14" ht="12.75">
      <c r="B34" s="80" t="s">
        <v>84</v>
      </c>
      <c r="C34" s="18">
        <v>0</v>
      </c>
      <c r="D34" s="81">
        <v>8</v>
      </c>
      <c r="E34" s="157">
        <f>+'CE Emission Factor Calcs'!J35</f>
        <v>0.675</v>
      </c>
      <c r="F34" s="157">
        <f>+'CE Emission Factor Calcs'!K35</f>
        <v>0.15</v>
      </c>
      <c r="G34" s="157">
        <f>+'CE Emission Factor Calcs'!L35</f>
        <v>1.7</v>
      </c>
      <c r="H34" s="157">
        <f>+'CE Emission Factor Calcs'!M35</f>
        <v>0.143</v>
      </c>
      <c r="I34" s="157">
        <f>+'CE Emission Factor Calcs'!N35</f>
        <v>0.14</v>
      </c>
      <c r="J34" s="82">
        <f t="shared" si="6"/>
        <v>0</v>
      </c>
      <c r="K34" s="82">
        <f t="shared" si="7"/>
        <v>0</v>
      </c>
      <c r="L34" s="82">
        <f t="shared" si="7"/>
        <v>0</v>
      </c>
      <c r="M34" s="82">
        <f t="shared" si="7"/>
        <v>0</v>
      </c>
      <c r="N34" s="82">
        <f t="shared" si="7"/>
        <v>0</v>
      </c>
    </row>
    <row r="35" spans="2:14" ht="12.75">
      <c r="B35" s="80" t="s">
        <v>85</v>
      </c>
      <c r="C35" s="181">
        <v>0</v>
      </c>
      <c r="D35" s="81">
        <v>8</v>
      </c>
      <c r="E35" s="157">
        <f>+'CE Emission Factor Calcs'!J36</f>
        <v>0.675</v>
      </c>
      <c r="F35" s="157">
        <f>+'CE Emission Factor Calcs'!K36</f>
        <v>0.15</v>
      </c>
      <c r="G35" s="157">
        <f>+'CE Emission Factor Calcs'!L36</f>
        <v>1.7</v>
      </c>
      <c r="H35" s="157">
        <f>+'CE Emission Factor Calcs'!M36</f>
        <v>0.143</v>
      </c>
      <c r="I35" s="157">
        <f>+'CE Emission Factor Calcs'!N36</f>
        <v>0.14</v>
      </c>
      <c r="J35" s="82">
        <f t="shared" si="6"/>
        <v>0</v>
      </c>
      <c r="K35" s="82">
        <f t="shared" si="7"/>
        <v>0</v>
      </c>
      <c r="L35" s="82">
        <f t="shared" si="7"/>
        <v>0</v>
      </c>
      <c r="M35" s="82">
        <f t="shared" si="7"/>
        <v>0</v>
      </c>
      <c r="N35" s="82">
        <f t="shared" si="7"/>
        <v>0</v>
      </c>
    </row>
    <row r="36" spans="2:14" ht="13.5" thickBot="1">
      <c r="B36" s="84" t="s">
        <v>324</v>
      </c>
      <c r="C36" s="85">
        <v>0</v>
      </c>
      <c r="D36" s="85">
        <v>8</v>
      </c>
      <c r="E36" s="85">
        <f>+'CE Emission Factor Calcs'!J37</f>
        <v>3.2535999999999996</v>
      </c>
      <c r="F36" s="85">
        <f>+'CE Emission Factor Calcs'!K37</f>
        <v>0.16856</v>
      </c>
      <c r="G36" s="85">
        <f>+'CE Emission Factor Calcs'!L37</f>
        <v>0.01568</v>
      </c>
      <c r="H36" s="85">
        <f>+'CE Emission Factor Calcs'!M37</f>
        <v>0.00196</v>
      </c>
      <c r="I36" s="165">
        <f>+'CE Emission Factor Calcs'!N37</f>
        <v>0.00098</v>
      </c>
      <c r="J36" s="182">
        <f t="shared" si="6"/>
        <v>0</v>
      </c>
      <c r="K36" s="182">
        <f t="shared" si="7"/>
        <v>0</v>
      </c>
      <c r="L36" s="182">
        <f t="shared" si="7"/>
        <v>0</v>
      </c>
      <c r="M36" s="182">
        <f t="shared" si="7"/>
        <v>0</v>
      </c>
      <c r="N36" s="183">
        <f t="shared" si="7"/>
        <v>0</v>
      </c>
    </row>
    <row r="37" spans="2:14" ht="13.5" thickBot="1">
      <c r="B37" s="83"/>
      <c r="C37" s="86"/>
      <c r="D37" s="86"/>
      <c r="E37" s="86"/>
      <c r="F37" s="86"/>
      <c r="G37" s="86"/>
      <c r="H37" s="86"/>
      <c r="I37" s="85"/>
      <c r="J37" s="85"/>
      <c r="K37" s="85"/>
      <c r="L37" s="85"/>
      <c r="M37" s="85"/>
      <c r="N37" s="85"/>
    </row>
    <row r="38" spans="2:14" ht="13.5" thickBot="1">
      <c r="B38" s="87" t="s">
        <v>86</v>
      </c>
      <c r="C38" s="88"/>
      <c r="D38" s="88"/>
      <c r="E38" s="88"/>
      <c r="F38" s="88"/>
      <c r="G38" s="88"/>
      <c r="H38" s="88"/>
      <c r="I38" s="88"/>
      <c r="J38" s="89">
        <f>SUM(J6:J36)</f>
        <v>55.00944</v>
      </c>
      <c r="K38" s="89">
        <f>SUM(K6:K36)</f>
        <v>4.5408</v>
      </c>
      <c r="L38" s="184">
        <f>SUM(L6:L36)</f>
        <v>15.58544</v>
      </c>
      <c r="M38" s="89">
        <f>SUM(M6:M36)</f>
        <v>1.3642400000000001</v>
      </c>
      <c r="N38" s="92">
        <f>SUM(N6:N36)</f>
        <v>1.0158000000000003</v>
      </c>
    </row>
    <row r="39" spans="2:14" ht="14.25" thickBot="1" thickTop="1">
      <c r="B39" s="93" t="s">
        <v>5</v>
      </c>
      <c r="C39" s="149"/>
      <c r="D39" s="90"/>
      <c r="E39" s="90"/>
      <c r="F39" s="10"/>
      <c r="G39" s="10"/>
      <c r="H39" s="10"/>
      <c r="I39" s="10"/>
      <c r="J39" s="146"/>
      <c r="K39" s="146"/>
      <c r="L39" s="146"/>
      <c r="M39" s="142"/>
      <c r="N39" s="143"/>
    </row>
    <row r="40" spans="10:14" ht="13.5" thickTop="1">
      <c r="J40" s="23"/>
      <c r="K40" s="23"/>
      <c r="L40" s="23"/>
      <c r="M40" s="23"/>
      <c r="N40" s="23"/>
    </row>
    <row r="41" ht="12.75">
      <c r="B41" s="13" t="s">
        <v>87</v>
      </c>
    </row>
    <row r="42" spans="2:5" ht="12.75">
      <c r="B42" s="13" t="s">
        <v>88</v>
      </c>
      <c r="E42" s="13" t="s">
        <v>89</v>
      </c>
    </row>
    <row r="43" ht="12.75">
      <c r="B43" s="13" t="s">
        <v>90</v>
      </c>
    </row>
    <row r="44" spans="2:6" ht="12.75">
      <c r="B44" s="13" t="s">
        <v>91</v>
      </c>
      <c r="C44" s="150"/>
      <c r="D44" s="13"/>
      <c r="E44" s="13"/>
      <c r="F44" s="91"/>
    </row>
    <row r="46" ht="12.75">
      <c r="N46" s="57"/>
    </row>
    <row r="47" ht="12.75">
      <c r="B47" s="13"/>
    </row>
  </sheetData>
  <sheetProtection/>
  <mergeCells count="2">
    <mergeCell ref="B2:N2"/>
    <mergeCell ref="A24:A25"/>
  </mergeCells>
  <conditionalFormatting sqref="M40:N40 J40">
    <cfRule type="cellIs" priority="1" dxfId="0" operator="greaterThanOrEqual" stopIfTrue="1">
      <formula>$J$41</formula>
    </cfRule>
  </conditionalFormatting>
  <conditionalFormatting sqref="L40">
    <cfRule type="cellIs" priority="2" dxfId="0" operator="greaterThanOrEqual" stopIfTrue="1">
      <formula>$L$41</formula>
    </cfRule>
  </conditionalFormatting>
  <conditionalFormatting sqref="K40">
    <cfRule type="cellIs" priority="3" dxfId="0" operator="greaterThanOrEqual" stopIfTrue="1">
      <formula>$K$41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&amp;C&amp;"Arial,Bold"&amp;12Table B-5
Construction Equipment Emissions for the Ultramar Alkylation Improvement Project 
</oddHeader>
    <oddFooter>&amp;L&amp;8N:\\2185\&amp;F:&amp;A&amp;R&amp;8&amp;D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2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2.75"/>
  <cols>
    <col min="2" max="2" width="19.2812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</cols>
  <sheetData>
    <row r="1" spans="2:12" s="20" customFormat="1" ht="13.5" thickBot="1">
      <c r="B1" s="295" t="s">
        <v>218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2:12" ht="30" customHeight="1" thickBot="1">
      <c r="B2" s="172" t="s">
        <v>50</v>
      </c>
      <c r="C2" s="265" t="s">
        <v>139</v>
      </c>
      <c r="D2" s="272"/>
      <c r="E2" s="265" t="s">
        <v>140</v>
      </c>
      <c r="F2" s="266"/>
      <c r="G2" s="265" t="s">
        <v>141</v>
      </c>
      <c r="H2" s="272"/>
      <c r="I2" s="265" t="s">
        <v>142</v>
      </c>
      <c r="J2" s="266"/>
      <c r="K2" s="265" t="s">
        <v>143</v>
      </c>
      <c r="L2" s="266"/>
    </row>
    <row r="3" spans="2:12" ht="27" thickBot="1">
      <c r="B3" s="61" t="s">
        <v>51</v>
      </c>
      <c r="C3" s="270">
        <v>0.016559</v>
      </c>
      <c r="D3" s="263"/>
      <c r="E3" s="263">
        <v>0.001771</v>
      </c>
      <c r="F3" s="263"/>
      <c r="G3" s="263">
        <v>0.0018</v>
      </c>
      <c r="H3" s="263"/>
      <c r="I3" s="263">
        <v>1E-05</v>
      </c>
      <c r="J3" s="263"/>
      <c r="K3" s="263">
        <v>7.9E-05</v>
      </c>
      <c r="L3" s="267"/>
    </row>
    <row r="4" spans="2:12" ht="12.75">
      <c r="B4" s="61" t="s">
        <v>52</v>
      </c>
      <c r="C4" s="270">
        <v>0.016559</v>
      </c>
      <c r="D4" s="263"/>
      <c r="E4" s="263">
        <v>0.001771</v>
      </c>
      <c r="F4" s="263"/>
      <c r="G4" s="263">
        <v>0.0018</v>
      </c>
      <c r="H4" s="263"/>
      <c r="I4" s="264">
        <v>1E-05</v>
      </c>
      <c r="J4" s="264"/>
      <c r="K4" s="263">
        <v>7.9E-05</v>
      </c>
      <c r="L4" s="267"/>
    </row>
    <row r="5" spans="2:12" ht="12.75">
      <c r="B5" s="151" t="s">
        <v>151</v>
      </c>
      <c r="C5" s="271">
        <v>0.02309</v>
      </c>
      <c r="D5" s="264"/>
      <c r="E5" s="264">
        <v>0.003148</v>
      </c>
      <c r="F5" s="264"/>
      <c r="G5" s="264">
        <v>0.029607</v>
      </c>
      <c r="H5" s="264"/>
      <c r="I5" s="264">
        <v>0.000243</v>
      </c>
      <c r="J5" s="264"/>
      <c r="K5" s="268">
        <v>0.000519</v>
      </c>
      <c r="L5" s="269"/>
    </row>
    <row r="6" spans="2:12" ht="13.5" thickBot="1">
      <c r="B6" s="170" t="s">
        <v>53</v>
      </c>
      <c r="C6" s="271">
        <v>0.02309</v>
      </c>
      <c r="D6" s="264"/>
      <c r="E6" s="264">
        <v>0.003148</v>
      </c>
      <c r="F6" s="264"/>
      <c r="G6" s="264">
        <v>0.029607</v>
      </c>
      <c r="H6" s="264"/>
      <c r="I6" s="264">
        <v>0.000243</v>
      </c>
      <c r="J6" s="264"/>
      <c r="K6" s="268">
        <v>0.000519</v>
      </c>
      <c r="L6" s="269"/>
    </row>
    <row r="7" ht="13.5" thickBot="1"/>
    <row r="8" spans="2:13" ht="13.5" thickBot="1">
      <c r="B8" s="63"/>
      <c r="C8" s="256" t="s">
        <v>54</v>
      </c>
      <c r="D8" s="257"/>
      <c r="E8" s="258"/>
      <c r="F8" s="256" t="s">
        <v>55</v>
      </c>
      <c r="G8" s="257"/>
      <c r="H8" s="257"/>
      <c r="I8" s="257"/>
      <c r="J8" s="258"/>
      <c r="K8" s="26"/>
      <c r="L8" s="26"/>
      <c r="M8" s="26"/>
    </row>
    <row r="9" spans="2:13" ht="39.75" thickBot="1">
      <c r="B9" s="48" t="s">
        <v>58</v>
      </c>
      <c r="C9" s="155" t="s">
        <v>56</v>
      </c>
      <c r="D9" s="166" t="s">
        <v>57</v>
      </c>
      <c r="E9" s="154" t="s">
        <v>144</v>
      </c>
      <c r="F9" s="125" t="s">
        <v>145</v>
      </c>
      <c r="G9" s="17" t="s">
        <v>146</v>
      </c>
      <c r="H9" s="175" t="s">
        <v>147</v>
      </c>
      <c r="I9" s="175" t="s">
        <v>148</v>
      </c>
      <c r="J9" s="17" t="s">
        <v>149</v>
      </c>
      <c r="K9" s="46"/>
      <c r="L9" s="156"/>
      <c r="M9" s="156"/>
    </row>
    <row r="10" spans="2:13" ht="12.75" customHeight="1">
      <c r="B10" s="290" t="s">
        <v>59</v>
      </c>
      <c r="C10" s="270">
        <v>118</v>
      </c>
      <c r="D10" s="263">
        <f>C10*2</f>
        <v>236</v>
      </c>
      <c r="E10" s="267">
        <v>16.2</v>
      </c>
      <c r="F10" s="288">
        <f>D10*E10*C$3</f>
        <v>63.3083688</v>
      </c>
      <c r="G10" s="289">
        <f>D10*E10*E$3</f>
        <v>6.7708872</v>
      </c>
      <c r="H10" s="259">
        <f>D10*E10*G$3</f>
        <v>6.88176</v>
      </c>
      <c r="I10" s="259">
        <f>D10*E10*I$3</f>
        <v>0.038232</v>
      </c>
      <c r="J10" s="260">
        <f>D10*E10*K$3</f>
        <v>0.3020328</v>
      </c>
      <c r="K10" s="287"/>
      <c r="L10" s="298"/>
      <c r="M10" s="298"/>
    </row>
    <row r="11" spans="2:13" ht="12.75">
      <c r="B11" s="291"/>
      <c r="C11" s="271"/>
      <c r="D11" s="264"/>
      <c r="E11" s="292"/>
      <c r="F11" s="277"/>
      <c r="G11" s="283"/>
      <c r="H11" s="259"/>
      <c r="I11" s="259"/>
      <c r="J11" s="261"/>
      <c r="K11" s="287"/>
      <c r="L11" s="298"/>
      <c r="M11" s="298"/>
    </row>
    <row r="12" spans="2:13" s="119" customFormat="1" ht="12.75">
      <c r="B12" s="168" t="s">
        <v>60</v>
      </c>
      <c r="C12" s="118">
        <v>1</v>
      </c>
      <c r="D12" s="18">
        <f>C12</f>
        <v>1</v>
      </c>
      <c r="E12" s="116">
        <v>10</v>
      </c>
      <c r="F12" s="123">
        <f>D12*E12*C$3</f>
        <v>0.16559000000000001</v>
      </c>
      <c r="G12" s="173">
        <f>D12*E12*E$3</f>
        <v>0.01771</v>
      </c>
      <c r="H12" s="22">
        <f>D12*E12*G$3</f>
        <v>0.018</v>
      </c>
      <c r="I12" s="22">
        <f>D12*E12*I$3</f>
        <v>0.0001</v>
      </c>
      <c r="J12" s="126">
        <f>D12*E12*K$3</f>
        <v>0.0007899999999999999</v>
      </c>
      <c r="K12" s="152"/>
      <c r="L12" s="167"/>
      <c r="M12" s="167"/>
    </row>
    <row r="13" spans="1:13" s="119" customFormat="1" ht="12.75">
      <c r="A13" s="296" t="s">
        <v>199</v>
      </c>
      <c r="B13" s="169" t="s">
        <v>52</v>
      </c>
      <c r="C13" s="118">
        <v>6</v>
      </c>
      <c r="D13" s="18">
        <f>C13*2</f>
        <v>12</v>
      </c>
      <c r="E13" s="116">
        <v>16.2</v>
      </c>
      <c r="F13" s="123">
        <f>D13*E13*C$3</f>
        <v>3.2190695999999996</v>
      </c>
      <c r="G13" s="173">
        <f>D13*E13*E$3</f>
        <v>0.34428239999999993</v>
      </c>
      <c r="H13" s="22">
        <f>D13*E13*G$3</f>
        <v>0.34991999999999995</v>
      </c>
      <c r="I13" s="22">
        <f>D13*E13*I$3</f>
        <v>0.001944</v>
      </c>
      <c r="J13" s="126">
        <f>D13*E13*K$3</f>
        <v>0.015357599999999997</v>
      </c>
      <c r="K13" s="152"/>
      <c r="L13" s="167"/>
      <c r="M13" s="167"/>
    </row>
    <row r="14" spans="1:13" s="119" customFormat="1" ht="12.75">
      <c r="A14" s="296"/>
      <c r="B14" s="151" t="s">
        <v>152</v>
      </c>
      <c r="C14" s="118">
        <v>1</v>
      </c>
      <c r="D14" s="18">
        <f>C14*2</f>
        <v>2</v>
      </c>
      <c r="E14" s="116">
        <v>1.5</v>
      </c>
      <c r="F14" s="123">
        <f>$D14*$E14*C5</f>
        <v>0.06927</v>
      </c>
      <c r="G14" s="173">
        <f>$D14*$E14*E5</f>
        <v>0.009444000000000001</v>
      </c>
      <c r="H14" s="22">
        <f>$D14*$E14*G5</f>
        <v>0.08882100000000001</v>
      </c>
      <c r="I14" s="22">
        <f>$D14*$E14*I5</f>
        <v>0.000729</v>
      </c>
      <c r="J14" s="121">
        <f>$D14*$E14*K5</f>
        <v>0.0015570000000000002</v>
      </c>
      <c r="K14" s="152"/>
      <c r="L14" s="167"/>
      <c r="M14" s="167"/>
    </row>
    <row r="15" spans="2:13" ht="12.75">
      <c r="B15" s="151" t="s">
        <v>61</v>
      </c>
      <c r="C15" s="118">
        <v>10</v>
      </c>
      <c r="D15" s="18">
        <f>C15*2</f>
        <v>20</v>
      </c>
      <c r="E15" s="116">
        <v>50</v>
      </c>
      <c r="F15" s="123">
        <f>D15*E15*C$6</f>
        <v>23.09</v>
      </c>
      <c r="G15" s="173">
        <f>D15*E15*E$6</f>
        <v>3.148</v>
      </c>
      <c r="H15" s="22">
        <f>D15*E15*G$6</f>
        <v>29.607000000000003</v>
      </c>
      <c r="I15" s="22">
        <f>D15*E15*I$6</f>
        <v>0.243</v>
      </c>
      <c r="J15" s="126">
        <f>D15*E15*K$6</f>
        <v>0.519</v>
      </c>
      <c r="K15" s="152"/>
      <c r="L15" s="167"/>
      <c r="M15" s="167"/>
    </row>
    <row r="16" spans="2:13" ht="13.5" thickBot="1">
      <c r="B16" s="170" t="s">
        <v>53</v>
      </c>
      <c r="C16" s="122">
        <v>1</v>
      </c>
      <c r="D16" s="85">
        <f>C16</f>
        <v>1</v>
      </c>
      <c r="E16" s="96">
        <v>4</v>
      </c>
      <c r="F16" s="124">
        <f>D16*E16*C$6</f>
        <v>0.09236</v>
      </c>
      <c r="G16" s="174">
        <f>D16*E16*E$6</f>
        <v>0.012592</v>
      </c>
      <c r="H16" s="120">
        <f>D16*E16*G$6</f>
        <v>0.118428</v>
      </c>
      <c r="I16" s="120">
        <f>D16*E16*I$6</f>
        <v>0.000972</v>
      </c>
      <c r="J16" s="113">
        <f>D16*E16*K$6</f>
        <v>0.002076</v>
      </c>
      <c r="K16" s="152"/>
      <c r="L16" s="167"/>
      <c r="M16" s="167"/>
    </row>
    <row r="17" spans="2:13" ht="13.5" thickBot="1">
      <c r="B17" s="2"/>
      <c r="C17" s="6"/>
      <c r="D17" s="6"/>
      <c r="E17" s="6"/>
      <c r="F17" s="64"/>
      <c r="G17" s="64"/>
      <c r="H17" s="64"/>
      <c r="I17" s="64"/>
      <c r="J17" s="64"/>
      <c r="K17" s="153"/>
      <c r="L17" s="153"/>
      <c r="M17" s="153"/>
    </row>
    <row r="18" spans="2:13" ht="13.5" thickBot="1">
      <c r="B18" s="43" t="s">
        <v>58</v>
      </c>
      <c r="C18" s="255" t="s">
        <v>54</v>
      </c>
      <c r="D18" s="255"/>
      <c r="E18" s="262" t="s">
        <v>0</v>
      </c>
      <c r="F18" s="255"/>
      <c r="G18" s="262" t="s">
        <v>1</v>
      </c>
      <c r="H18" s="255"/>
      <c r="I18" s="262" t="s">
        <v>2</v>
      </c>
      <c r="J18" s="262"/>
      <c r="K18" s="262" t="s">
        <v>6</v>
      </c>
      <c r="L18" s="262"/>
      <c r="M18" s="65" t="s">
        <v>3</v>
      </c>
    </row>
    <row r="19" spans="2:13" ht="24.75" customHeight="1">
      <c r="B19" s="280" t="s">
        <v>150</v>
      </c>
      <c r="C19" s="270">
        <f>C10+C12</f>
        <v>119</v>
      </c>
      <c r="D19" s="282">
        <f>D10+D12</f>
        <v>237</v>
      </c>
      <c r="E19" s="288">
        <f>F10+F12</f>
        <v>63.4739588</v>
      </c>
      <c r="F19" s="263"/>
      <c r="G19" s="297">
        <f>G10+G12</f>
        <v>6.7885972</v>
      </c>
      <c r="H19" s="263"/>
      <c r="I19" s="297">
        <f>H10+H12</f>
        <v>6.89976</v>
      </c>
      <c r="J19" s="263"/>
      <c r="K19" s="297">
        <f>I10+I12</f>
        <v>0.038332000000000005</v>
      </c>
      <c r="L19" s="297"/>
      <c r="M19" s="260">
        <f>J10+J12</f>
        <v>0.3028228</v>
      </c>
    </row>
    <row r="20" spans="2:13" ht="24.75" customHeight="1">
      <c r="B20" s="281"/>
      <c r="C20" s="271"/>
      <c r="D20" s="268"/>
      <c r="E20" s="271"/>
      <c r="F20" s="264"/>
      <c r="G20" s="264"/>
      <c r="H20" s="264"/>
      <c r="I20" s="264"/>
      <c r="J20" s="264"/>
      <c r="K20" s="259"/>
      <c r="L20" s="259"/>
      <c r="M20" s="261"/>
    </row>
    <row r="21" spans="2:13" ht="24.75" customHeight="1">
      <c r="B21" s="151" t="s">
        <v>153</v>
      </c>
      <c r="C21" s="118">
        <f>C14</f>
        <v>1</v>
      </c>
      <c r="D21" s="171">
        <f>D14</f>
        <v>2</v>
      </c>
      <c r="E21" s="285">
        <f>F14</f>
        <v>0.06927</v>
      </c>
      <c r="F21" s="286"/>
      <c r="G21" s="283">
        <f>G14</f>
        <v>0.009444000000000001</v>
      </c>
      <c r="H21" s="286"/>
      <c r="I21" s="283">
        <f>H14</f>
        <v>0.08882100000000001</v>
      </c>
      <c r="J21" s="286"/>
      <c r="K21" s="283">
        <f>I14</f>
        <v>0.000729</v>
      </c>
      <c r="L21" s="284"/>
      <c r="M21" s="126">
        <f>J14</f>
        <v>0.0015570000000000002</v>
      </c>
    </row>
    <row r="22" spans="2:13" ht="12.75" customHeight="1">
      <c r="B22" s="293" t="s">
        <v>62</v>
      </c>
      <c r="C22" s="271">
        <f>C13</f>
        <v>6</v>
      </c>
      <c r="D22" s="268">
        <f>D13</f>
        <v>12</v>
      </c>
      <c r="E22" s="277">
        <f>F13</f>
        <v>3.2190695999999996</v>
      </c>
      <c r="F22" s="278"/>
      <c r="G22" s="259">
        <f>G13</f>
        <v>0.34428239999999993</v>
      </c>
      <c r="H22" s="264"/>
      <c r="I22" s="259">
        <f>+H13</f>
        <v>0.34991999999999995</v>
      </c>
      <c r="J22" s="264"/>
      <c r="K22" s="259">
        <f>I13</f>
        <v>0.001944</v>
      </c>
      <c r="L22" s="259"/>
      <c r="M22" s="261">
        <f>J13</f>
        <v>0.015357599999999997</v>
      </c>
    </row>
    <row r="23" spans="2:13" ht="15.75" customHeight="1">
      <c r="B23" s="294"/>
      <c r="C23" s="276"/>
      <c r="D23" s="279"/>
      <c r="E23" s="276"/>
      <c r="F23" s="278"/>
      <c r="G23" s="264"/>
      <c r="H23" s="264"/>
      <c r="I23" s="264"/>
      <c r="J23" s="264"/>
      <c r="K23" s="259"/>
      <c r="L23" s="259"/>
      <c r="M23" s="261"/>
    </row>
    <row r="24" spans="2:13" ht="27.75" customHeight="1" thickBot="1">
      <c r="B24" s="195" t="s">
        <v>63</v>
      </c>
      <c r="C24" s="122">
        <f>C16+C15</f>
        <v>11</v>
      </c>
      <c r="D24" s="165">
        <f>+D15+D16</f>
        <v>21</v>
      </c>
      <c r="E24" s="274">
        <f>+F15+F16</f>
        <v>23.18236</v>
      </c>
      <c r="F24" s="275"/>
      <c r="G24" s="273">
        <f>G15+H15</f>
        <v>32.755</v>
      </c>
      <c r="H24" s="275"/>
      <c r="I24" s="273">
        <f>H15+H16</f>
        <v>29.725428000000004</v>
      </c>
      <c r="J24" s="275"/>
      <c r="K24" s="273">
        <f>I15+I16</f>
        <v>0.243972</v>
      </c>
      <c r="L24" s="273"/>
      <c r="M24" s="113">
        <f>J15+J16</f>
        <v>0.521076</v>
      </c>
    </row>
    <row r="25" spans="2:13" ht="14.25" customHeight="1" thickBot="1">
      <c r="B25" s="1" t="s">
        <v>212</v>
      </c>
      <c r="C25" s="1"/>
      <c r="D25" s="2"/>
      <c r="E25" s="262">
        <f>SUM(E19:F24)</f>
        <v>89.94465840000001</v>
      </c>
      <c r="F25" s="255"/>
      <c r="G25" s="262">
        <f>SUM(G19:H24)</f>
        <v>39.8973236</v>
      </c>
      <c r="H25" s="255"/>
      <c r="I25" s="262">
        <f>SUM(I19:J24)</f>
        <v>37.063929</v>
      </c>
      <c r="J25" s="255"/>
      <c r="K25" s="262">
        <f>SUM(K19:L24)</f>
        <v>0.284977</v>
      </c>
      <c r="L25" s="255"/>
      <c r="M25" s="65">
        <f>SUM(M19:M24)</f>
        <v>0.8408133999999999</v>
      </c>
    </row>
    <row r="27" ht="12.75">
      <c r="B27" s="201" t="s">
        <v>326</v>
      </c>
    </row>
    <row r="28" ht="12.75">
      <c r="B28" s="13"/>
    </row>
    <row r="29" spans="2:13" ht="12.75">
      <c r="B29" t="s">
        <v>219</v>
      </c>
      <c r="M29" s="57"/>
    </row>
  </sheetData>
  <sheetProtection/>
  <mergeCells count="74">
    <mergeCell ref="B1:L1"/>
    <mergeCell ref="A13:A14"/>
    <mergeCell ref="M19:M20"/>
    <mergeCell ref="E19:F20"/>
    <mergeCell ref="G19:H20"/>
    <mergeCell ref="I19:J20"/>
    <mergeCell ref="K19:L20"/>
    <mergeCell ref="L10:L11"/>
    <mergeCell ref="M10:M11"/>
    <mergeCell ref="B10:B11"/>
    <mergeCell ref="C10:C11"/>
    <mergeCell ref="D10:D11"/>
    <mergeCell ref="E10:E11"/>
    <mergeCell ref="B22:B23"/>
    <mergeCell ref="B19:B20"/>
    <mergeCell ref="C19:C20"/>
    <mergeCell ref="D19:D20"/>
    <mergeCell ref="K21:L21"/>
    <mergeCell ref="E21:F21"/>
    <mergeCell ref="G21:H21"/>
    <mergeCell ref="I21:J21"/>
    <mergeCell ref="C22:C23"/>
    <mergeCell ref="M22:M23"/>
    <mergeCell ref="E22:F23"/>
    <mergeCell ref="G22:H23"/>
    <mergeCell ref="I22:J23"/>
    <mergeCell ref="K22:L23"/>
    <mergeCell ref="D22:D23"/>
    <mergeCell ref="G2:H2"/>
    <mergeCell ref="K25:L25"/>
    <mergeCell ref="K24:L24"/>
    <mergeCell ref="E24:F24"/>
    <mergeCell ref="G24:H24"/>
    <mergeCell ref="I24:J24"/>
    <mergeCell ref="E25:F25"/>
    <mergeCell ref="G25:H25"/>
    <mergeCell ref="I25:J25"/>
    <mergeCell ref="K18:L18"/>
    <mergeCell ref="K10:K11"/>
    <mergeCell ref="F10:F11"/>
    <mergeCell ref="G10:G11"/>
    <mergeCell ref="C3:D3"/>
    <mergeCell ref="C6:D6"/>
    <mergeCell ref="E2:F2"/>
    <mergeCell ref="E3:F3"/>
    <mergeCell ref="C2:D2"/>
    <mergeCell ref="C4:D4"/>
    <mergeCell ref="E4:F4"/>
    <mergeCell ref="C5:D5"/>
    <mergeCell ref="E5:F5"/>
    <mergeCell ref="E6:F6"/>
    <mergeCell ref="I2:J2"/>
    <mergeCell ref="K3:L3"/>
    <mergeCell ref="K4:L4"/>
    <mergeCell ref="K6:L6"/>
    <mergeCell ref="K2:L2"/>
    <mergeCell ref="I5:J5"/>
    <mergeCell ref="K5:L5"/>
    <mergeCell ref="I6:J6"/>
    <mergeCell ref="G3:H3"/>
    <mergeCell ref="G4:H4"/>
    <mergeCell ref="I4:J4"/>
    <mergeCell ref="G6:H6"/>
    <mergeCell ref="I3:J3"/>
    <mergeCell ref="G5:H5"/>
    <mergeCell ref="C18:D18"/>
    <mergeCell ref="C8:E8"/>
    <mergeCell ref="F8:J8"/>
    <mergeCell ref="H10:H11"/>
    <mergeCell ref="I10:I11"/>
    <mergeCell ref="J10:J11"/>
    <mergeCell ref="E18:F18"/>
    <mergeCell ref="G18:H18"/>
    <mergeCell ref="I18:J18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&amp;C&amp;"Arial,Bold"&amp;12Table B-6
Construction Vehicle Emissions - December 2004
</oddHeader>
    <oddFooter>&amp;L&amp;8N:\2185\&amp;F:&amp;A&amp;R&amp;8&amp;D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29"/>
  <sheetViews>
    <sheetView zoomScale="80" zoomScaleNormal="80" zoomScalePageLayoutView="0" workbookViewId="0" topLeftCell="A6">
      <selection activeCell="A15" sqref="A15"/>
    </sheetView>
  </sheetViews>
  <sheetFormatPr defaultColWidth="9.140625" defaultRowHeight="12.75"/>
  <cols>
    <col min="2" max="2" width="19.2812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</cols>
  <sheetData>
    <row r="1" spans="2:12" ht="13.5" thickBot="1">
      <c r="B1" s="295" t="s">
        <v>218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2:12" ht="30" customHeight="1" thickBot="1">
      <c r="B2" s="172" t="s">
        <v>50</v>
      </c>
      <c r="C2" s="265" t="s">
        <v>139</v>
      </c>
      <c r="D2" s="272"/>
      <c r="E2" s="265" t="s">
        <v>140</v>
      </c>
      <c r="F2" s="266"/>
      <c r="G2" s="265" t="s">
        <v>141</v>
      </c>
      <c r="H2" s="272"/>
      <c r="I2" s="265" t="s">
        <v>142</v>
      </c>
      <c r="J2" s="266"/>
      <c r="K2" s="265" t="s">
        <v>143</v>
      </c>
      <c r="L2" s="266"/>
    </row>
    <row r="3" spans="2:12" ht="27" thickBot="1">
      <c r="B3" s="61" t="s">
        <v>51</v>
      </c>
      <c r="C3" s="270">
        <v>0.016559</v>
      </c>
      <c r="D3" s="263"/>
      <c r="E3" s="263">
        <v>0.001771</v>
      </c>
      <c r="F3" s="263"/>
      <c r="G3" s="263">
        <v>0.0018</v>
      </c>
      <c r="H3" s="263"/>
      <c r="I3" s="263">
        <v>1E-05</v>
      </c>
      <c r="J3" s="263"/>
      <c r="K3" s="263">
        <v>7.9E-05</v>
      </c>
      <c r="L3" s="267"/>
    </row>
    <row r="4" spans="2:12" ht="12.75">
      <c r="B4" s="168" t="s">
        <v>52</v>
      </c>
      <c r="C4" s="270">
        <v>0.016559</v>
      </c>
      <c r="D4" s="263"/>
      <c r="E4" s="263">
        <v>0.001771</v>
      </c>
      <c r="F4" s="263"/>
      <c r="G4" s="263">
        <v>0.0018</v>
      </c>
      <c r="H4" s="263"/>
      <c r="I4" s="264">
        <v>1E-05</v>
      </c>
      <c r="J4" s="264"/>
      <c r="K4" s="263">
        <v>7.9E-05</v>
      </c>
      <c r="L4" s="267"/>
    </row>
    <row r="5" spans="2:12" ht="12.75">
      <c r="B5" s="169" t="s">
        <v>151</v>
      </c>
      <c r="C5" s="271">
        <v>0.02309</v>
      </c>
      <c r="D5" s="264"/>
      <c r="E5" s="264">
        <v>0.003148</v>
      </c>
      <c r="F5" s="264"/>
      <c r="G5" s="264">
        <v>0.029607</v>
      </c>
      <c r="H5" s="264"/>
      <c r="I5" s="264">
        <v>0.000243</v>
      </c>
      <c r="J5" s="264"/>
      <c r="K5" s="268">
        <v>0.000519</v>
      </c>
      <c r="L5" s="269"/>
    </row>
    <row r="6" spans="2:12" ht="13.5" thickBot="1">
      <c r="B6" s="170" t="s">
        <v>53</v>
      </c>
      <c r="C6" s="271">
        <v>0.02309</v>
      </c>
      <c r="D6" s="264"/>
      <c r="E6" s="264">
        <v>0.003148</v>
      </c>
      <c r="F6" s="264"/>
      <c r="G6" s="264">
        <v>0.029607</v>
      </c>
      <c r="H6" s="264"/>
      <c r="I6" s="264">
        <v>0.000243</v>
      </c>
      <c r="J6" s="264"/>
      <c r="K6" s="268">
        <v>0.000519</v>
      </c>
      <c r="L6" s="269"/>
    </row>
    <row r="7" ht="13.5" thickBot="1"/>
    <row r="8" spans="2:13" ht="13.5" thickBot="1">
      <c r="B8" s="63"/>
      <c r="C8" s="256" t="s">
        <v>54</v>
      </c>
      <c r="D8" s="257"/>
      <c r="E8" s="258"/>
      <c r="F8" s="256" t="s">
        <v>55</v>
      </c>
      <c r="G8" s="257"/>
      <c r="H8" s="257"/>
      <c r="I8" s="257"/>
      <c r="J8" s="258"/>
      <c r="K8" s="26"/>
      <c r="L8" s="26"/>
      <c r="M8" s="26"/>
    </row>
    <row r="9" spans="2:13" ht="39.75" thickBot="1">
      <c r="B9" s="48" t="s">
        <v>58</v>
      </c>
      <c r="C9" s="155" t="s">
        <v>56</v>
      </c>
      <c r="D9" s="166" t="s">
        <v>57</v>
      </c>
      <c r="E9" s="154" t="s">
        <v>144</v>
      </c>
      <c r="F9" s="125" t="s">
        <v>145</v>
      </c>
      <c r="G9" s="17" t="s">
        <v>146</v>
      </c>
      <c r="H9" s="175" t="s">
        <v>147</v>
      </c>
      <c r="I9" s="175" t="s">
        <v>148</v>
      </c>
      <c r="J9" s="17" t="s">
        <v>149</v>
      </c>
      <c r="K9" s="46"/>
      <c r="L9" s="156"/>
      <c r="M9" s="156"/>
    </row>
    <row r="10" spans="2:13" ht="12.75" customHeight="1">
      <c r="B10" s="290" t="s">
        <v>59</v>
      </c>
      <c r="C10" s="270">
        <v>122</v>
      </c>
      <c r="D10" s="263">
        <f>C10*2</f>
        <v>244</v>
      </c>
      <c r="E10" s="267">
        <v>16.2</v>
      </c>
      <c r="F10" s="288">
        <f>D10*E10*C$3</f>
        <v>65.4544152</v>
      </c>
      <c r="G10" s="289">
        <f>D10*E10*E$3</f>
        <v>7.0004088</v>
      </c>
      <c r="H10" s="259">
        <f>D10*E10*G$3</f>
        <v>7.11504</v>
      </c>
      <c r="I10" s="259">
        <f>D10*E10*I$3</f>
        <v>0.039528</v>
      </c>
      <c r="J10" s="260">
        <f>D10*E10*K$3</f>
        <v>0.31227119999999997</v>
      </c>
      <c r="K10" s="287"/>
      <c r="L10" s="298"/>
      <c r="M10" s="298"/>
    </row>
    <row r="11" spans="2:13" ht="12.75">
      <c r="B11" s="291"/>
      <c r="C11" s="271"/>
      <c r="D11" s="264"/>
      <c r="E11" s="292"/>
      <c r="F11" s="277"/>
      <c r="G11" s="283"/>
      <c r="H11" s="259"/>
      <c r="I11" s="259"/>
      <c r="J11" s="261"/>
      <c r="K11" s="287"/>
      <c r="L11" s="298"/>
      <c r="M11" s="298"/>
    </row>
    <row r="12" spans="2:13" s="119" customFormat="1" ht="12.75">
      <c r="B12" s="168" t="s">
        <v>60</v>
      </c>
      <c r="C12" s="118">
        <v>1</v>
      </c>
      <c r="D12" s="18">
        <f>C12</f>
        <v>1</v>
      </c>
      <c r="E12" s="116">
        <v>10</v>
      </c>
      <c r="F12" s="123">
        <f>D12*E12*C$3</f>
        <v>0.16559000000000001</v>
      </c>
      <c r="G12" s="173">
        <f>D12*E12*E$3</f>
        <v>0.01771</v>
      </c>
      <c r="H12" s="22">
        <f>D12*E12*G$3</f>
        <v>0.018</v>
      </c>
      <c r="I12" s="22">
        <f>D12*E12*I$3</f>
        <v>0.0001</v>
      </c>
      <c r="J12" s="126">
        <f>D12*E12*K$3</f>
        <v>0.0007899999999999999</v>
      </c>
      <c r="K12" s="152"/>
      <c r="L12" s="167"/>
      <c r="M12" s="167"/>
    </row>
    <row r="13" spans="1:13" s="119" customFormat="1" ht="12.75">
      <c r="A13" s="296" t="s">
        <v>200</v>
      </c>
      <c r="B13" s="169" t="s">
        <v>52</v>
      </c>
      <c r="C13" s="118">
        <v>6</v>
      </c>
      <c r="D13" s="18">
        <f>C13*2</f>
        <v>12</v>
      </c>
      <c r="E13" s="116">
        <v>16.2</v>
      </c>
      <c r="F13" s="123">
        <f>D13*E13*C$3</f>
        <v>3.2190695999999996</v>
      </c>
      <c r="G13" s="173">
        <f>D13*E13*E$3</f>
        <v>0.34428239999999993</v>
      </c>
      <c r="H13" s="22">
        <f>D13*E13*G$3</f>
        <v>0.34991999999999995</v>
      </c>
      <c r="I13" s="22">
        <f>D13*E13*I$3</f>
        <v>0.001944</v>
      </c>
      <c r="J13" s="126">
        <f>D13*E13*K$3</f>
        <v>0.015357599999999997</v>
      </c>
      <c r="K13" s="152"/>
      <c r="L13" s="167"/>
      <c r="M13" s="167"/>
    </row>
    <row r="14" spans="1:13" s="119" customFormat="1" ht="12.75">
      <c r="A14" s="296"/>
      <c r="B14" s="151" t="s">
        <v>152</v>
      </c>
      <c r="C14" s="118">
        <v>2</v>
      </c>
      <c r="D14" s="18">
        <f>C14*2</f>
        <v>4</v>
      </c>
      <c r="E14" s="116">
        <v>1.5</v>
      </c>
      <c r="F14" s="123">
        <f>$D14*$E14*C5</f>
        <v>0.13854</v>
      </c>
      <c r="G14" s="173">
        <f>$D14*$E14*E5</f>
        <v>0.018888000000000002</v>
      </c>
      <c r="H14" s="22">
        <f>$D14*$E14*G5</f>
        <v>0.17764200000000002</v>
      </c>
      <c r="I14" s="22">
        <f>$D14*$E14*I5</f>
        <v>0.001458</v>
      </c>
      <c r="J14" s="121">
        <f>$D14*$E14*K5</f>
        <v>0.0031140000000000004</v>
      </c>
      <c r="K14" s="152"/>
      <c r="L14" s="167"/>
      <c r="M14" s="167"/>
    </row>
    <row r="15" spans="2:13" ht="12.75">
      <c r="B15" s="151" t="s">
        <v>61</v>
      </c>
      <c r="C15" s="118">
        <v>10</v>
      </c>
      <c r="D15" s="18">
        <f>C15*2</f>
        <v>20</v>
      </c>
      <c r="E15" s="116">
        <v>50</v>
      </c>
      <c r="F15" s="123">
        <f>D15*E15*C$6</f>
        <v>23.09</v>
      </c>
      <c r="G15" s="173">
        <f>D15*E15*E$6</f>
        <v>3.148</v>
      </c>
      <c r="H15" s="22">
        <f>D15*E15*G$6</f>
        <v>29.607000000000003</v>
      </c>
      <c r="I15" s="22">
        <f>D15*E15*I$6</f>
        <v>0.243</v>
      </c>
      <c r="J15" s="126">
        <f>D15*E15*K$6</f>
        <v>0.519</v>
      </c>
      <c r="K15" s="152"/>
      <c r="L15" s="167"/>
      <c r="M15" s="167"/>
    </row>
    <row r="16" spans="2:13" ht="21" customHeight="1" thickBot="1">
      <c r="B16" s="170" t="s">
        <v>53</v>
      </c>
      <c r="C16" s="122">
        <v>1</v>
      </c>
      <c r="D16" s="85">
        <f>C16</f>
        <v>1</v>
      </c>
      <c r="E16" s="96">
        <v>4</v>
      </c>
      <c r="F16" s="124">
        <f>D16*E16*C$6</f>
        <v>0.09236</v>
      </c>
      <c r="G16" s="174">
        <f>D16*E16*E$6</f>
        <v>0.012592</v>
      </c>
      <c r="H16" s="120">
        <f>D16*E16*G$6</f>
        <v>0.118428</v>
      </c>
      <c r="I16" s="120">
        <f>D16*E16*I$6</f>
        <v>0.000972</v>
      </c>
      <c r="J16" s="113">
        <f>D16*E16*K$6</f>
        <v>0.002076</v>
      </c>
      <c r="K16" s="152"/>
      <c r="L16" s="167"/>
      <c r="M16" s="167"/>
    </row>
    <row r="17" spans="2:13" ht="13.5" thickBot="1">
      <c r="B17" s="2"/>
      <c r="C17" s="6"/>
      <c r="D17" s="6"/>
      <c r="E17" s="6"/>
      <c r="F17" s="64"/>
      <c r="G17" s="64"/>
      <c r="H17" s="64"/>
      <c r="I17" s="64"/>
      <c r="J17" s="64"/>
      <c r="K17" s="153"/>
      <c r="L17" s="153"/>
      <c r="M17" s="153"/>
    </row>
    <row r="18" spans="2:13" ht="13.5" thickBot="1">
      <c r="B18" s="43" t="s">
        <v>58</v>
      </c>
      <c r="C18" s="255" t="s">
        <v>54</v>
      </c>
      <c r="D18" s="255"/>
      <c r="E18" s="262" t="s">
        <v>0</v>
      </c>
      <c r="F18" s="255"/>
      <c r="G18" s="262" t="s">
        <v>1</v>
      </c>
      <c r="H18" s="255"/>
      <c r="I18" s="262" t="s">
        <v>2</v>
      </c>
      <c r="J18" s="262"/>
      <c r="K18" s="262" t="s">
        <v>6</v>
      </c>
      <c r="L18" s="262"/>
      <c r="M18" s="65" t="s">
        <v>3</v>
      </c>
    </row>
    <row r="19" spans="2:13" ht="24.75" customHeight="1">
      <c r="B19" s="280" t="s">
        <v>150</v>
      </c>
      <c r="C19" s="270">
        <f>C10+C12</f>
        <v>123</v>
      </c>
      <c r="D19" s="282">
        <f>D10+D12</f>
        <v>245</v>
      </c>
      <c r="E19" s="288">
        <f>F10+F12</f>
        <v>65.6200052</v>
      </c>
      <c r="F19" s="263"/>
      <c r="G19" s="297">
        <f>G10+G12</f>
        <v>7.0181188</v>
      </c>
      <c r="H19" s="263"/>
      <c r="I19" s="297">
        <f>H10+H12</f>
        <v>7.133039999999999</v>
      </c>
      <c r="J19" s="263"/>
      <c r="K19" s="297">
        <f>I10+I12</f>
        <v>0.039628000000000003</v>
      </c>
      <c r="L19" s="297"/>
      <c r="M19" s="260">
        <f>J10+J12</f>
        <v>0.3130612</v>
      </c>
    </row>
    <row r="20" spans="2:13" ht="24.75" customHeight="1">
      <c r="B20" s="281"/>
      <c r="C20" s="271"/>
      <c r="D20" s="268"/>
      <c r="E20" s="271"/>
      <c r="F20" s="264"/>
      <c r="G20" s="264"/>
      <c r="H20" s="264"/>
      <c r="I20" s="264"/>
      <c r="J20" s="264"/>
      <c r="K20" s="259"/>
      <c r="L20" s="259"/>
      <c r="M20" s="261"/>
    </row>
    <row r="21" spans="2:13" ht="24.75" customHeight="1">
      <c r="B21" s="169" t="s">
        <v>153</v>
      </c>
      <c r="C21" s="118">
        <f>C14</f>
        <v>2</v>
      </c>
      <c r="D21" s="171">
        <f>D14</f>
        <v>4</v>
      </c>
      <c r="E21" s="285">
        <f>F14</f>
        <v>0.13854</v>
      </c>
      <c r="F21" s="286"/>
      <c r="G21" s="283">
        <f>G14</f>
        <v>0.018888000000000002</v>
      </c>
      <c r="H21" s="286"/>
      <c r="I21" s="283">
        <f>H14</f>
        <v>0.17764200000000002</v>
      </c>
      <c r="J21" s="286"/>
      <c r="K21" s="283">
        <f>I14</f>
        <v>0.001458</v>
      </c>
      <c r="L21" s="284"/>
      <c r="M21" s="126">
        <f>J14</f>
        <v>0.0031140000000000004</v>
      </c>
    </row>
    <row r="22" spans="2:13" ht="12.75" customHeight="1">
      <c r="B22" s="293" t="s">
        <v>62</v>
      </c>
      <c r="C22" s="271">
        <f>C13</f>
        <v>6</v>
      </c>
      <c r="D22" s="268">
        <f>D13</f>
        <v>12</v>
      </c>
      <c r="E22" s="277">
        <f>F13</f>
        <v>3.2190695999999996</v>
      </c>
      <c r="F22" s="278"/>
      <c r="G22" s="259">
        <f>G13</f>
        <v>0.34428239999999993</v>
      </c>
      <c r="H22" s="264"/>
      <c r="I22" s="259">
        <f>+H13</f>
        <v>0.34991999999999995</v>
      </c>
      <c r="J22" s="264"/>
      <c r="K22" s="259">
        <f>I13</f>
        <v>0.001944</v>
      </c>
      <c r="L22" s="259"/>
      <c r="M22" s="261">
        <f>J13</f>
        <v>0.015357599999999997</v>
      </c>
    </row>
    <row r="23" spans="2:13" ht="15.75" customHeight="1">
      <c r="B23" s="294"/>
      <c r="C23" s="276"/>
      <c r="D23" s="279"/>
      <c r="E23" s="276"/>
      <c r="F23" s="278"/>
      <c r="G23" s="264"/>
      <c r="H23" s="264"/>
      <c r="I23" s="264"/>
      <c r="J23" s="264"/>
      <c r="K23" s="259"/>
      <c r="L23" s="259"/>
      <c r="M23" s="261"/>
    </row>
    <row r="24" spans="2:13" ht="27.75" customHeight="1" thickBot="1">
      <c r="B24" s="195" t="s">
        <v>63</v>
      </c>
      <c r="C24" s="122">
        <f>C16+C15</f>
        <v>11</v>
      </c>
      <c r="D24" s="165">
        <f>+D15+D16</f>
        <v>21</v>
      </c>
      <c r="E24" s="274">
        <f>+F15+F16</f>
        <v>23.18236</v>
      </c>
      <c r="F24" s="275"/>
      <c r="G24" s="273">
        <f>G15+H15</f>
        <v>32.755</v>
      </c>
      <c r="H24" s="275"/>
      <c r="I24" s="273">
        <f>H15+H16</f>
        <v>29.725428000000004</v>
      </c>
      <c r="J24" s="275"/>
      <c r="K24" s="273">
        <f>I15+I16</f>
        <v>0.243972</v>
      </c>
      <c r="L24" s="273"/>
      <c r="M24" s="113">
        <f>J15+J16</f>
        <v>0.521076</v>
      </c>
    </row>
    <row r="25" spans="2:13" ht="14.25" customHeight="1" thickBot="1">
      <c r="B25" s="1" t="s">
        <v>212</v>
      </c>
      <c r="C25" s="1"/>
      <c r="D25" s="2"/>
      <c r="E25" s="262">
        <f>SUM(E19:F24)</f>
        <v>92.1599748</v>
      </c>
      <c r="F25" s="255"/>
      <c r="G25" s="262">
        <f>SUM(G19:H24)</f>
        <v>40.1362892</v>
      </c>
      <c r="H25" s="255"/>
      <c r="I25" s="262">
        <f>SUM(I19:J24)</f>
        <v>37.386030000000005</v>
      </c>
      <c r="J25" s="255"/>
      <c r="K25" s="262">
        <f>SUM(K19:L24)</f>
        <v>0.287002</v>
      </c>
      <c r="L25" s="255"/>
      <c r="M25" s="65">
        <f>SUM(M19:M24)</f>
        <v>0.8526088</v>
      </c>
    </row>
    <row r="27" ht="12.75">
      <c r="B27" s="201" t="s">
        <v>326</v>
      </c>
    </row>
    <row r="28" ht="12.75">
      <c r="B28" s="13"/>
    </row>
    <row r="29" spans="2:13" ht="12.75">
      <c r="B29" t="s">
        <v>219</v>
      </c>
      <c r="M29" s="57"/>
    </row>
  </sheetData>
  <sheetProtection/>
  <mergeCells count="74">
    <mergeCell ref="B1:L1"/>
    <mergeCell ref="B22:B23"/>
    <mergeCell ref="A13:A14"/>
    <mergeCell ref="C18:D18"/>
    <mergeCell ref="C8:E8"/>
    <mergeCell ref="E18:F18"/>
    <mergeCell ref="C22:C23"/>
    <mergeCell ref="D22:D23"/>
    <mergeCell ref="B19:B20"/>
    <mergeCell ref="C19:C20"/>
    <mergeCell ref="D19:D20"/>
    <mergeCell ref="G18:H18"/>
    <mergeCell ref="I18:J18"/>
    <mergeCell ref="G3:H3"/>
    <mergeCell ref="G4:H4"/>
    <mergeCell ref="I4:J4"/>
    <mergeCell ref="G6:H6"/>
    <mergeCell ref="I3:J3"/>
    <mergeCell ref="I6:J6"/>
    <mergeCell ref="G5:H5"/>
    <mergeCell ref="F8:J8"/>
    <mergeCell ref="I2:J2"/>
    <mergeCell ref="K3:L3"/>
    <mergeCell ref="K4:L4"/>
    <mergeCell ref="K6:L6"/>
    <mergeCell ref="K2:L2"/>
    <mergeCell ref="I5:J5"/>
    <mergeCell ref="K5:L5"/>
    <mergeCell ref="G2:H2"/>
    <mergeCell ref="C3:D3"/>
    <mergeCell ref="C6:D6"/>
    <mergeCell ref="E2:F2"/>
    <mergeCell ref="E3:F3"/>
    <mergeCell ref="C2:D2"/>
    <mergeCell ref="C4:D4"/>
    <mergeCell ref="E4:F4"/>
    <mergeCell ref="C5:D5"/>
    <mergeCell ref="E5:F5"/>
    <mergeCell ref="E6:F6"/>
    <mergeCell ref="K21:L21"/>
    <mergeCell ref="E21:F21"/>
    <mergeCell ref="G21:H21"/>
    <mergeCell ref="I21:J21"/>
    <mergeCell ref="K25:L25"/>
    <mergeCell ref="K24:L24"/>
    <mergeCell ref="E24:F24"/>
    <mergeCell ref="G24:H24"/>
    <mergeCell ref="I24:J24"/>
    <mergeCell ref="E25:F25"/>
    <mergeCell ref="G25:H25"/>
    <mergeCell ref="I25:J25"/>
    <mergeCell ref="M22:M23"/>
    <mergeCell ref="E22:F23"/>
    <mergeCell ref="G22:H23"/>
    <mergeCell ref="I22:J23"/>
    <mergeCell ref="K22:L23"/>
    <mergeCell ref="B10:B11"/>
    <mergeCell ref="C10:C11"/>
    <mergeCell ref="D10:D11"/>
    <mergeCell ref="E10:E11"/>
    <mergeCell ref="L10:L11"/>
    <mergeCell ref="K10:K11"/>
    <mergeCell ref="F10:F11"/>
    <mergeCell ref="G10:G11"/>
    <mergeCell ref="H10:H11"/>
    <mergeCell ref="I10:I11"/>
    <mergeCell ref="J10:J11"/>
    <mergeCell ref="M19:M20"/>
    <mergeCell ref="E19:F20"/>
    <mergeCell ref="G19:H20"/>
    <mergeCell ref="I19:J20"/>
    <mergeCell ref="K19:L20"/>
    <mergeCell ref="M10:M11"/>
    <mergeCell ref="K18:L18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&amp;C&amp;"Arial,Bold"&amp;12Table B-7
Construction Vehicle Emissions - January 2005 
</oddHeader>
    <oddFooter>&amp;L&amp;8N:\\2185\&amp;F:&amp;A&amp;R&amp;8&amp;D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1"/>
  <dimension ref="A1:M2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2.75"/>
  <cols>
    <col min="2" max="2" width="19.2812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</cols>
  <sheetData>
    <row r="1" spans="2:12" ht="13.5" thickBot="1">
      <c r="B1" s="295" t="s">
        <v>218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2:12" ht="30" customHeight="1" thickBot="1">
      <c r="B2" s="172" t="s">
        <v>50</v>
      </c>
      <c r="C2" s="265" t="s">
        <v>139</v>
      </c>
      <c r="D2" s="272"/>
      <c r="E2" s="265" t="s">
        <v>140</v>
      </c>
      <c r="F2" s="266"/>
      <c r="G2" s="265" t="s">
        <v>141</v>
      </c>
      <c r="H2" s="272"/>
      <c r="I2" s="265" t="s">
        <v>142</v>
      </c>
      <c r="J2" s="266"/>
      <c r="K2" s="265" t="s">
        <v>143</v>
      </c>
      <c r="L2" s="266"/>
    </row>
    <row r="3" spans="2:12" ht="27" thickBot="1">
      <c r="B3" s="61" t="s">
        <v>51</v>
      </c>
      <c r="C3" s="270">
        <v>0.016559</v>
      </c>
      <c r="D3" s="263"/>
      <c r="E3" s="263">
        <v>0.001771</v>
      </c>
      <c r="F3" s="263"/>
      <c r="G3" s="263">
        <v>0.0018</v>
      </c>
      <c r="H3" s="263"/>
      <c r="I3" s="263">
        <v>1E-05</v>
      </c>
      <c r="J3" s="263"/>
      <c r="K3" s="263">
        <v>7.9E-05</v>
      </c>
      <c r="L3" s="267"/>
    </row>
    <row r="4" spans="2:12" ht="12.75">
      <c r="B4" s="168" t="s">
        <v>52</v>
      </c>
      <c r="C4" s="270">
        <v>0.016559</v>
      </c>
      <c r="D4" s="263"/>
      <c r="E4" s="263">
        <v>0.001771</v>
      </c>
      <c r="F4" s="263"/>
      <c r="G4" s="263">
        <v>0.0018</v>
      </c>
      <c r="H4" s="263"/>
      <c r="I4" s="264">
        <v>1E-05</v>
      </c>
      <c r="J4" s="264"/>
      <c r="K4" s="263">
        <v>7.9E-05</v>
      </c>
      <c r="L4" s="267"/>
    </row>
    <row r="5" spans="2:12" ht="12.75">
      <c r="B5" s="169" t="s">
        <v>151</v>
      </c>
      <c r="C5" s="271">
        <v>0.02309</v>
      </c>
      <c r="D5" s="264"/>
      <c r="E5" s="264">
        <v>0.003148</v>
      </c>
      <c r="F5" s="264"/>
      <c r="G5" s="264">
        <v>0.029607</v>
      </c>
      <c r="H5" s="264"/>
      <c r="I5" s="264">
        <v>0.000243</v>
      </c>
      <c r="J5" s="264"/>
      <c r="K5" s="268">
        <v>0.000519</v>
      </c>
      <c r="L5" s="269"/>
    </row>
    <row r="6" spans="2:12" ht="13.5" thickBot="1">
      <c r="B6" s="170" t="s">
        <v>53</v>
      </c>
      <c r="C6" s="271">
        <v>0.02309</v>
      </c>
      <c r="D6" s="264"/>
      <c r="E6" s="264">
        <v>0.003148</v>
      </c>
      <c r="F6" s="264"/>
      <c r="G6" s="264">
        <v>0.029607</v>
      </c>
      <c r="H6" s="264"/>
      <c r="I6" s="264">
        <v>0.000243</v>
      </c>
      <c r="J6" s="264"/>
      <c r="K6" s="268">
        <v>0.000519</v>
      </c>
      <c r="L6" s="269"/>
    </row>
    <row r="7" ht="13.5" thickBot="1"/>
    <row r="8" spans="2:13" ht="13.5" thickBot="1">
      <c r="B8" s="63"/>
      <c r="C8" s="256" t="s">
        <v>54</v>
      </c>
      <c r="D8" s="257"/>
      <c r="E8" s="258"/>
      <c r="F8" s="256" t="s">
        <v>55</v>
      </c>
      <c r="G8" s="257"/>
      <c r="H8" s="257"/>
      <c r="I8" s="257"/>
      <c r="J8" s="258"/>
      <c r="K8" s="26"/>
      <c r="L8" s="26"/>
      <c r="M8" s="26"/>
    </row>
    <row r="9" spans="2:13" ht="39.75" thickBot="1">
      <c r="B9" s="48" t="s">
        <v>58</v>
      </c>
      <c r="C9" s="155" t="s">
        <v>56</v>
      </c>
      <c r="D9" s="166" t="s">
        <v>57</v>
      </c>
      <c r="E9" s="154" t="s">
        <v>144</v>
      </c>
      <c r="F9" s="125" t="s">
        <v>145</v>
      </c>
      <c r="G9" s="17" t="s">
        <v>146</v>
      </c>
      <c r="H9" s="175" t="s">
        <v>147</v>
      </c>
      <c r="I9" s="175" t="s">
        <v>148</v>
      </c>
      <c r="J9" s="17" t="s">
        <v>149</v>
      </c>
      <c r="K9" s="46"/>
      <c r="L9" s="156"/>
      <c r="M9" s="156"/>
    </row>
    <row r="10" spans="2:13" ht="12.75" customHeight="1">
      <c r="B10" s="290" t="s">
        <v>59</v>
      </c>
      <c r="C10" s="270">
        <v>727</v>
      </c>
      <c r="D10" s="263">
        <f>C10*2</f>
        <v>1454</v>
      </c>
      <c r="E10" s="267">
        <v>16.2</v>
      </c>
      <c r="F10" s="288">
        <f>D10*E10*C$3</f>
        <v>390.0439332</v>
      </c>
      <c r="G10" s="289">
        <f>D10*E10*E$3</f>
        <v>41.715550799999995</v>
      </c>
      <c r="H10" s="259">
        <f>D10*E10*G$3</f>
        <v>42.39864</v>
      </c>
      <c r="I10" s="259">
        <f>D10*E10*I$3</f>
        <v>0.235548</v>
      </c>
      <c r="J10" s="260">
        <f>D10*E10*K$3</f>
        <v>1.8608291999999997</v>
      </c>
      <c r="K10" s="287"/>
      <c r="L10" s="298"/>
      <c r="M10" s="298"/>
    </row>
    <row r="11" spans="2:13" ht="12.75">
      <c r="B11" s="291"/>
      <c r="C11" s="271"/>
      <c r="D11" s="264"/>
      <c r="E11" s="292"/>
      <c r="F11" s="277"/>
      <c r="G11" s="283"/>
      <c r="H11" s="259"/>
      <c r="I11" s="259"/>
      <c r="J11" s="261"/>
      <c r="K11" s="287"/>
      <c r="L11" s="298"/>
      <c r="M11" s="298"/>
    </row>
    <row r="12" spans="2:13" s="119" customFormat="1" ht="12.75">
      <c r="B12" s="168" t="s">
        <v>60</v>
      </c>
      <c r="C12" s="118">
        <v>2</v>
      </c>
      <c r="D12" s="18">
        <f>C12</f>
        <v>2</v>
      </c>
      <c r="E12" s="116">
        <v>10</v>
      </c>
      <c r="F12" s="123">
        <f>D12*E12*C$3</f>
        <v>0.33118000000000003</v>
      </c>
      <c r="G12" s="173">
        <f>D12*E12*E$3</f>
        <v>0.03542</v>
      </c>
      <c r="H12" s="22">
        <f>D12*E12*G$3</f>
        <v>0.036</v>
      </c>
      <c r="I12" s="22">
        <f>D12*E12*I$3</f>
        <v>0.0002</v>
      </c>
      <c r="J12" s="126">
        <f>D12*E12*K$3</f>
        <v>0.0015799999999999998</v>
      </c>
      <c r="K12" s="152"/>
      <c r="L12" s="167"/>
      <c r="M12" s="167"/>
    </row>
    <row r="13" spans="1:13" s="119" customFormat="1" ht="12.75">
      <c r="A13" s="296" t="s">
        <v>210</v>
      </c>
      <c r="B13" s="169" t="s">
        <v>52</v>
      </c>
      <c r="C13" s="118">
        <v>16</v>
      </c>
      <c r="D13" s="18">
        <f>C13*2</f>
        <v>32</v>
      </c>
      <c r="E13" s="116">
        <v>16.2</v>
      </c>
      <c r="F13" s="123">
        <f>D13*E13*C$3</f>
        <v>8.5841856</v>
      </c>
      <c r="G13" s="173">
        <f>D13*E13*E$3</f>
        <v>0.9180864</v>
      </c>
      <c r="H13" s="22">
        <f>D13*E13*G$3</f>
        <v>0.93312</v>
      </c>
      <c r="I13" s="22">
        <f>D13*E13*I$3</f>
        <v>0.005184</v>
      </c>
      <c r="J13" s="126">
        <f>D13*E13*K$3</f>
        <v>0.04095359999999999</v>
      </c>
      <c r="K13" s="152"/>
      <c r="L13" s="167"/>
      <c r="M13" s="167"/>
    </row>
    <row r="14" spans="1:13" s="119" customFormat="1" ht="12.75">
      <c r="A14" s="296"/>
      <c r="B14" s="151" t="s">
        <v>152</v>
      </c>
      <c r="C14" s="118">
        <v>6</v>
      </c>
      <c r="D14" s="18">
        <f>C14*2</f>
        <v>12</v>
      </c>
      <c r="E14" s="116">
        <v>1.5</v>
      </c>
      <c r="F14" s="123">
        <f>$D14*$E14*C5</f>
        <v>0.41562</v>
      </c>
      <c r="G14" s="173">
        <f>$D14*$E14*E5</f>
        <v>0.056664000000000006</v>
      </c>
      <c r="H14" s="22">
        <f>$D14*$E14*G5</f>
        <v>0.532926</v>
      </c>
      <c r="I14" s="22">
        <f>$D14*$E14*I5</f>
        <v>0.004374</v>
      </c>
      <c r="J14" s="121">
        <f>$D14*$E14*K5</f>
        <v>0.009342000000000001</v>
      </c>
      <c r="K14" s="152"/>
      <c r="L14" s="167"/>
      <c r="M14" s="167"/>
    </row>
    <row r="15" spans="2:13" ht="12.75">
      <c r="B15" s="151" t="s">
        <v>61</v>
      </c>
      <c r="C15" s="118">
        <v>10</v>
      </c>
      <c r="D15" s="18">
        <f>C15*2</f>
        <v>20</v>
      </c>
      <c r="E15" s="116">
        <v>50</v>
      </c>
      <c r="F15" s="123">
        <f>D15*E15*C$6</f>
        <v>23.09</v>
      </c>
      <c r="G15" s="173">
        <f>D15*E15*E$6</f>
        <v>3.148</v>
      </c>
      <c r="H15" s="22">
        <f>D15*E15*G$6</f>
        <v>29.607000000000003</v>
      </c>
      <c r="I15" s="22">
        <f>D15*E15*I$6</f>
        <v>0.243</v>
      </c>
      <c r="J15" s="126">
        <f>D15*E15*K$6</f>
        <v>0.519</v>
      </c>
      <c r="K15" s="152"/>
      <c r="L15" s="167"/>
      <c r="M15" s="167"/>
    </row>
    <row r="16" spans="2:13" ht="13.5" thickBot="1">
      <c r="B16" s="170" t="s">
        <v>53</v>
      </c>
      <c r="C16" s="122">
        <v>1</v>
      </c>
      <c r="D16" s="85">
        <f>C16</f>
        <v>1</v>
      </c>
      <c r="E16" s="96">
        <v>4</v>
      </c>
      <c r="F16" s="124">
        <f>D16*E16*C$6</f>
        <v>0.09236</v>
      </c>
      <c r="G16" s="174">
        <f>D16*E16*E$6</f>
        <v>0.012592</v>
      </c>
      <c r="H16" s="120">
        <f>D16*E16*G$6</f>
        <v>0.118428</v>
      </c>
      <c r="I16" s="120">
        <f>D16*E16*I$6</f>
        <v>0.000972</v>
      </c>
      <c r="J16" s="113">
        <f>D16*E16*K$6</f>
        <v>0.002076</v>
      </c>
      <c r="K16" s="152"/>
      <c r="L16" s="167"/>
      <c r="M16" s="167"/>
    </row>
    <row r="17" spans="2:13" ht="13.5" thickBot="1">
      <c r="B17" s="2"/>
      <c r="C17" s="6"/>
      <c r="D17" s="6"/>
      <c r="E17" s="6"/>
      <c r="F17" s="64"/>
      <c r="G17" s="64"/>
      <c r="H17" s="64"/>
      <c r="I17" s="64"/>
      <c r="J17" s="64"/>
      <c r="K17" s="153"/>
      <c r="L17" s="153"/>
      <c r="M17" s="153"/>
    </row>
    <row r="18" spans="1:13" ht="13.5" thickBot="1">
      <c r="A18" s="194"/>
      <c r="B18" s="43" t="s">
        <v>58</v>
      </c>
      <c r="C18" s="255" t="s">
        <v>54</v>
      </c>
      <c r="D18" s="255"/>
      <c r="E18" s="262" t="s">
        <v>0</v>
      </c>
      <c r="F18" s="255"/>
      <c r="G18" s="262" t="s">
        <v>1</v>
      </c>
      <c r="H18" s="255"/>
      <c r="I18" s="262" t="s">
        <v>2</v>
      </c>
      <c r="J18" s="262"/>
      <c r="K18" s="262" t="s">
        <v>6</v>
      </c>
      <c r="L18" s="262"/>
      <c r="M18" s="65" t="s">
        <v>3</v>
      </c>
    </row>
    <row r="19" spans="2:13" ht="24.75" customHeight="1">
      <c r="B19" s="280" t="s">
        <v>150</v>
      </c>
      <c r="C19" s="270">
        <f>C10+C12</f>
        <v>729</v>
      </c>
      <c r="D19" s="282">
        <f>D10+D12</f>
        <v>1456</v>
      </c>
      <c r="E19" s="288">
        <f>F10+F12</f>
        <v>390.37511320000004</v>
      </c>
      <c r="F19" s="263"/>
      <c r="G19" s="297">
        <f>G10+G12</f>
        <v>41.7509708</v>
      </c>
      <c r="H19" s="263"/>
      <c r="I19" s="297">
        <f>H10+H12</f>
        <v>42.43464</v>
      </c>
      <c r="J19" s="263"/>
      <c r="K19" s="297">
        <f>I10+I12</f>
        <v>0.235748</v>
      </c>
      <c r="L19" s="297"/>
      <c r="M19" s="260">
        <f>J10+J12</f>
        <v>1.8624091999999997</v>
      </c>
    </row>
    <row r="20" spans="2:13" ht="24.75" customHeight="1">
      <c r="B20" s="281"/>
      <c r="C20" s="271"/>
      <c r="D20" s="268"/>
      <c r="E20" s="271"/>
      <c r="F20" s="264"/>
      <c r="G20" s="264"/>
      <c r="H20" s="264"/>
      <c r="I20" s="264"/>
      <c r="J20" s="264"/>
      <c r="K20" s="259"/>
      <c r="L20" s="259"/>
      <c r="M20" s="261"/>
    </row>
    <row r="21" spans="2:13" ht="24.75" customHeight="1">
      <c r="B21" s="169" t="s">
        <v>153</v>
      </c>
      <c r="C21" s="118">
        <f>C14</f>
        <v>6</v>
      </c>
      <c r="D21" s="171">
        <f>D14</f>
        <v>12</v>
      </c>
      <c r="E21" s="285">
        <f>F14</f>
        <v>0.41562</v>
      </c>
      <c r="F21" s="286"/>
      <c r="G21" s="283">
        <f>G14</f>
        <v>0.056664000000000006</v>
      </c>
      <c r="H21" s="286"/>
      <c r="I21" s="283">
        <f>H14</f>
        <v>0.532926</v>
      </c>
      <c r="J21" s="286"/>
      <c r="K21" s="283">
        <f>I14</f>
        <v>0.004374</v>
      </c>
      <c r="L21" s="284"/>
      <c r="M21" s="126">
        <f>J14</f>
        <v>0.009342000000000001</v>
      </c>
    </row>
    <row r="22" spans="2:13" ht="12.75" customHeight="1">
      <c r="B22" s="293" t="s">
        <v>62</v>
      </c>
      <c r="C22" s="271">
        <f>C13</f>
        <v>16</v>
      </c>
      <c r="D22" s="268">
        <f>D13</f>
        <v>32</v>
      </c>
      <c r="E22" s="277">
        <f>F13</f>
        <v>8.5841856</v>
      </c>
      <c r="F22" s="278"/>
      <c r="G22" s="259">
        <f>G13</f>
        <v>0.9180864</v>
      </c>
      <c r="H22" s="264"/>
      <c r="I22" s="259">
        <f>+H13</f>
        <v>0.93312</v>
      </c>
      <c r="J22" s="264"/>
      <c r="K22" s="259">
        <f>I13</f>
        <v>0.005184</v>
      </c>
      <c r="L22" s="259"/>
      <c r="M22" s="261">
        <f>J13</f>
        <v>0.04095359999999999</v>
      </c>
    </row>
    <row r="23" spans="2:13" ht="15.75" customHeight="1">
      <c r="B23" s="294"/>
      <c r="C23" s="276"/>
      <c r="D23" s="279"/>
      <c r="E23" s="276"/>
      <c r="F23" s="278"/>
      <c r="G23" s="264"/>
      <c r="H23" s="264"/>
      <c r="I23" s="264"/>
      <c r="J23" s="264"/>
      <c r="K23" s="259"/>
      <c r="L23" s="259"/>
      <c r="M23" s="261"/>
    </row>
    <row r="24" spans="2:13" ht="27.75" customHeight="1" thickBot="1">
      <c r="B24" s="195" t="s">
        <v>63</v>
      </c>
      <c r="C24" s="122">
        <f>C16+C15</f>
        <v>11</v>
      </c>
      <c r="D24" s="165">
        <f>+D15+D16</f>
        <v>21</v>
      </c>
      <c r="E24" s="274">
        <f>+F15+F16</f>
        <v>23.18236</v>
      </c>
      <c r="F24" s="275"/>
      <c r="G24" s="273">
        <f>G15+H15</f>
        <v>32.755</v>
      </c>
      <c r="H24" s="275"/>
      <c r="I24" s="273">
        <f>H15+H16</f>
        <v>29.725428000000004</v>
      </c>
      <c r="J24" s="275"/>
      <c r="K24" s="273">
        <f>I15+I16</f>
        <v>0.243972</v>
      </c>
      <c r="L24" s="273"/>
      <c r="M24" s="113">
        <f>J15+J16</f>
        <v>0.521076</v>
      </c>
    </row>
    <row r="25" spans="2:13" ht="14.25" customHeight="1" thickBot="1">
      <c r="B25" s="1" t="s">
        <v>212</v>
      </c>
      <c r="C25" s="1"/>
      <c r="D25" s="2"/>
      <c r="E25" s="262">
        <f>SUM(E19:F24)</f>
        <v>422.55727880000006</v>
      </c>
      <c r="F25" s="255"/>
      <c r="G25" s="262">
        <f>SUM(G19:H24)</f>
        <v>75.4807212</v>
      </c>
      <c r="H25" s="255"/>
      <c r="I25" s="262">
        <f>SUM(I19:J24)</f>
        <v>73.62611400000002</v>
      </c>
      <c r="J25" s="255"/>
      <c r="K25" s="262">
        <f>SUM(K19:L24)</f>
        <v>0.489278</v>
      </c>
      <c r="L25" s="255"/>
      <c r="M25" s="65">
        <f>SUM(M19:M24)</f>
        <v>2.4337807999999996</v>
      </c>
    </row>
    <row r="27" ht="12.75">
      <c r="B27" s="201" t="s">
        <v>326</v>
      </c>
    </row>
    <row r="28" ht="12.75">
      <c r="B28" s="13"/>
    </row>
    <row r="29" spans="2:13" ht="12.75">
      <c r="B29" t="s">
        <v>219</v>
      </c>
      <c r="M29" s="57"/>
    </row>
  </sheetData>
  <sheetProtection/>
  <mergeCells count="74">
    <mergeCell ref="B1:L1"/>
    <mergeCell ref="B22:B23"/>
    <mergeCell ref="A13:A14"/>
    <mergeCell ref="M19:M20"/>
    <mergeCell ref="E19:F20"/>
    <mergeCell ref="G19:H20"/>
    <mergeCell ref="I19:J20"/>
    <mergeCell ref="K19:L20"/>
    <mergeCell ref="B19:B20"/>
    <mergeCell ref="C19:C20"/>
    <mergeCell ref="M10:M11"/>
    <mergeCell ref="K10:K11"/>
    <mergeCell ref="F10:F11"/>
    <mergeCell ref="G10:G11"/>
    <mergeCell ref="E18:F18"/>
    <mergeCell ref="G18:H18"/>
    <mergeCell ref="I18:J18"/>
    <mergeCell ref="B10:B11"/>
    <mergeCell ref="C10:C11"/>
    <mergeCell ref="D10:D11"/>
    <mergeCell ref="E10:E11"/>
    <mergeCell ref="K21:L21"/>
    <mergeCell ref="E21:F21"/>
    <mergeCell ref="G21:H21"/>
    <mergeCell ref="I21:J21"/>
    <mergeCell ref="H10:H11"/>
    <mergeCell ref="I10:I11"/>
    <mergeCell ref="D19:D20"/>
    <mergeCell ref="C18:D18"/>
    <mergeCell ref="L10:L11"/>
    <mergeCell ref="C22:C23"/>
    <mergeCell ref="M22:M23"/>
    <mergeCell ref="E22:F23"/>
    <mergeCell ref="G22:H23"/>
    <mergeCell ref="I22:J23"/>
    <mergeCell ref="K22:L23"/>
    <mergeCell ref="D22:D23"/>
    <mergeCell ref="E6:F6"/>
    <mergeCell ref="G2:H2"/>
    <mergeCell ref="K25:L25"/>
    <mergeCell ref="K24:L24"/>
    <mergeCell ref="E24:F24"/>
    <mergeCell ref="G24:H24"/>
    <mergeCell ref="I24:J24"/>
    <mergeCell ref="E25:F25"/>
    <mergeCell ref="G25:H25"/>
    <mergeCell ref="I25:J25"/>
    <mergeCell ref="K18:L18"/>
    <mergeCell ref="C2:D2"/>
    <mergeCell ref="C4:D4"/>
    <mergeCell ref="E4:F4"/>
    <mergeCell ref="C5:D5"/>
    <mergeCell ref="E5:F5"/>
    <mergeCell ref="C8:E8"/>
    <mergeCell ref="F8:J8"/>
    <mergeCell ref="I2:J2"/>
    <mergeCell ref="K3:L3"/>
    <mergeCell ref="K4:L4"/>
    <mergeCell ref="K6:L6"/>
    <mergeCell ref="K2:L2"/>
    <mergeCell ref="I5:J5"/>
    <mergeCell ref="K5:L5"/>
    <mergeCell ref="I3:J3"/>
    <mergeCell ref="I4:J4"/>
    <mergeCell ref="I6:J6"/>
    <mergeCell ref="C3:D3"/>
    <mergeCell ref="C6:D6"/>
    <mergeCell ref="E2:F2"/>
    <mergeCell ref="E3:F3"/>
    <mergeCell ref="J10:J11"/>
    <mergeCell ref="G3:H3"/>
    <mergeCell ref="G4:H4"/>
    <mergeCell ref="G6:H6"/>
    <mergeCell ref="G5:H5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&amp;C&amp;"Arial,Bold"&amp;12Table B-8
Construction Vehicle Emissions - September 2005 
</oddHeader>
    <oddFooter>&amp;L&amp;8N:\\2185\&amp;F:&amp;A&amp;R&amp;8&amp;D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2"/>
  <dimension ref="A1:M29"/>
  <sheetViews>
    <sheetView zoomScale="80" zoomScaleNormal="80" zoomScalePageLayoutView="0" workbookViewId="0" topLeftCell="A4">
      <selection activeCell="A15" sqref="A15"/>
    </sheetView>
  </sheetViews>
  <sheetFormatPr defaultColWidth="9.140625" defaultRowHeight="12.75"/>
  <cols>
    <col min="2" max="2" width="19.28125" style="0" customWidth="1"/>
    <col min="3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</cols>
  <sheetData>
    <row r="1" spans="2:12" ht="13.5" thickBot="1">
      <c r="B1" s="295" t="s">
        <v>218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2:12" ht="30" customHeight="1" thickBot="1">
      <c r="B2" s="172" t="s">
        <v>50</v>
      </c>
      <c r="C2" s="265" t="s">
        <v>139</v>
      </c>
      <c r="D2" s="272"/>
      <c r="E2" s="265" t="s">
        <v>140</v>
      </c>
      <c r="F2" s="266"/>
      <c r="G2" s="265" t="s">
        <v>141</v>
      </c>
      <c r="H2" s="272"/>
      <c r="I2" s="265" t="s">
        <v>142</v>
      </c>
      <c r="J2" s="266"/>
      <c r="K2" s="265" t="s">
        <v>143</v>
      </c>
      <c r="L2" s="266"/>
    </row>
    <row r="3" spans="2:12" ht="27" thickBot="1">
      <c r="B3" s="61" t="s">
        <v>51</v>
      </c>
      <c r="C3" s="270">
        <v>0.016559</v>
      </c>
      <c r="D3" s="263"/>
      <c r="E3" s="263">
        <v>0.001771</v>
      </c>
      <c r="F3" s="263"/>
      <c r="G3" s="263">
        <v>0.0018</v>
      </c>
      <c r="H3" s="263"/>
      <c r="I3" s="263">
        <v>1E-05</v>
      </c>
      <c r="J3" s="263"/>
      <c r="K3" s="263">
        <v>7.9E-05</v>
      </c>
      <c r="L3" s="267"/>
    </row>
    <row r="4" spans="2:12" ht="12.75">
      <c r="B4" s="168" t="s">
        <v>52</v>
      </c>
      <c r="C4" s="270">
        <v>0.016559</v>
      </c>
      <c r="D4" s="263"/>
      <c r="E4" s="263">
        <v>0.001771</v>
      </c>
      <c r="F4" s="263"/>
      <c r="G4" s="263">
        <v>0.0018</v>
      </c>
      <c r="H4" s="263"/>
      <c r="I4" s="264">
        <v>1E-05</v>
      </c>
      <c r="J4" s="264"/>
      <c r="K4" s="263">
        <v>7.9E-05</v>
      </c>
      <c r="L4" s="267"/>
    </row>
    <row r="5" spans="2:12" ht="12.75">
      <c r="B5" s="169" t="s">
        <v>151</v>
      </c>
      <c r="C5" s="271">
        <v>0.02309</v>
      </c>
      <c r="D5" s="264"/>
      <c r="E5" s="264">
        <v>0.003148</v>
      </c>
      <c r="F5" s="264"/>
      <c r="G5" s="264">
        <v>0.029607</v>
      </c>
      <c r="H5" s="264"/>
      <c r="I5" s="264">
        <v>0.000243</v>
      </c>
      <c r="J5" s="264"/>
      <c r="K5" s="268">
        <v>0.000519</v>
      </c>
      <c r="L5" s="269"/>
    </row>
    <row r="6" spans="2:12" ht="13.5" thickBot="1">
      <c r="B6" s="170" t="s">
        <v>53</v>
      </c>
      <c r="C6" s="271">
        <v>0.02309</v>
      </c>
      <c r="D6" s="264"/>
      <c r="E6" s="264">
        <v>0.003148</v>
      </c>
      <c r="F6" s="264"/>
      <c r="G6" s="264">
        <v>0.029607</v>
      </c>
      <c r="H6" s="264"/>
      <c r="I6" s="264">
        <v>0.000243</v>
      </c>
      <c r="J6" s="264"/>
      <c r="K6" s="268">
        <v>0.000519</v>
      </c>
      <c r="L6" s="269"/>
    </row>
    <row r="7" ht="13.5" thickBot="1"/>
    <row r="8" spans="2:13" ht="13.5" thickBot="1">
      <c r="B8" s="63"/>
      <c r="C8" s="256" t="s">
        <v>54</v>
      </c>
      <c r="D8" s="257"/>
      <c r="E8" s="258"/>
      <c r="F8" s="256" t="s">
        <v>55</v>
      </c>
      <c r="G8" s="257"/>
      <c r="H8" s="257"/>
      <c r="I8" s="257"/>
      <c r="J8" s="258"/>
      <c r="K8" s="26"/>
      <c r="L8" s="26"/>
      <c r="M8" s="26"/>
    </row>
    <row r="9" spans="2:13" ht="39.75" thickBot="1">
      <c r="B9" s="48" t="s">
        <v>58</v>
      </c>
      <c r="C9" s="155" t="s">
        <v>56</v>
      </c>
      <c r="D9" s="166" t="s">
        <v>57</v>
      </c>
      <c r="E9" s="154" t="s">
        <v>144</v>
      </c>
      <c r="F9" s="125" t="s">
        <v>145</v>
      </c>
      <c r="G9" s="17" t="s">
        <v>146</v>
      </c>
      <c r="H9" s="175" t="s">
        <v>147</v>
      </c>
      <c r="I9" s="175" t="s">
        <v>148</v>
      </c>
      <c r="J9" s="17" t="s">
        <v>149</v>
      </c>
      <c r="K9" s="46"/>
      <c r="L9" s="156"/>
      <c r="M9" s="156"/>
    </row>
    <row r="10" spans="2:13" ht="12.75" customHeight="1">
      <c r="B10" s="290" t="s">
        <v>59</v>
      </c>
      <c r="C10" s="270">
        <v>10</v>
      </c>
      <c r="D10" s="263">
        <f>C10*2</f>
        <v>20</v>
      </c>
      <c r="E10" s="267">
        <v>16.2</v>
      </c>
      <c r="F10" s="288">
        <f>D10*E10*C$3</f>
        <v>5.365116</v>
      </c>
      <c r="G10" s="289">
        <f>D10*E10*E$3</f>
        <v>0.573804</v>
      </c>
      <c r="H10" s="259">
        <f>D10*E10*G$3</f>
        <v>0.5831999999999999</v>
      </c>
      <c r="I10" s="259">
        <f>D10*E10*I$3</f>
        <v>0.0032400000000000003</v>
      </c>
      <c r="J10" s="260">
        <f>D10*E10*K$3</f>
        <v>0.025595999999999997</v>
      </c>
      <c r="K10" s="287"/>
      <c r="L10" s="298"/>
      <c r="M10" s="298"/>
    </row>
    <row r="11" spans="2:13" ht="12.75">
      <c r="B11" s="291"/>
      <c r="C11" s="271"/>
      <c r="D11" s="264"/>
      <c r="E11" s="292"/>
      <c r="F11" s="277"/>
      <c r="G11" s="283"/>
      <c r="H11" s="259"/>
      <c r="I11" s="259"/>
      <c r="J11" s="261"/>
      <c r="K11" s="287"/>
      <c r="L11" s="298"/>
      <c r="M11" s="298"/>
    </row>
    <row r="12" spans="2:13" s="119" customFormat="1" ht="12.75">
      <c r="B12" s="168" t="s">
        <v>60</v>
      </c>
      <c r="C12" s="118">
        <v>0</v>
      </c>
      <c r="D12" s="18">
        <f>C12</f>
        <v>0</v>
      </c>
      <c r="E12" s="116">
        <v>10</v>
      </c>
      <c r="F12" s="123">
        <f>D12*E12*C$3</f>
        <v>0</v>
      </c>
      <c r="G12" s="173">
        <f>D12*E12*E$3</f>
        <v>0</v>
      </c>
      <c r="H12" s="22">
        <f>D12*E12*G$3</f>
        <v>0</v>
      </c>
      <c r="I12" s="22">
        <f>D12*E12*I$3</f>
        <v>0</v>
      </c>
      <c r="J12" s="126">
        <f>D12*E12*K$3</f>
        <v>0</v>
      </c>
      <c r="K12" s="152"/>
      <c r="L12" s="167"/>
      <c r="M12" s="167"/>
    </row>
    <row r="13" spans="1:13" s="119" customFormat="1" ht="12.75">
      <c r="A13" s="296" t="s">
        <v>201</v>
      </c>
      <c r="B13" s="169" t="s">
        <v>52</v>
      </c>
      <c r="C13" s="118">
        <v>0</v>
      </c>
      <c r="D13" s="18">
        <f>C13*2</f>
        <v>0</v>
      </c>
      <c r="E13" s="116">
        <v>16.2</v>
      </c>
      <c r="F13" s="123">
        <f>D13*E13*C$3</f>
        <v>0</v>
      </c>
      <c r="G13" s="173">
        <f>D13*E13*E$3</f>
        <v>0</v>
      </c>
      <c r="H13" s="22">
        <f>D13*E13*G$3</f>
        <v>0</v>
      </c>
      <c r="I13" s="22">
        <f>D13*E13*I$3</f>
        <v>0</v>
      </c>
      <c r="J13" s="126">
        <f>D13*E13*K$3</f>
        <v>0</v>
      </c>
      <c r="K13" s="152"/>
      <c r="L13" s="167"/>
      <c r="M13" s="167"/>
    </row>
    <row r="14" spans="1:13" s="119" customFormat="1" ht="12.75">
      <c r="A14" s="296"/>
      <c r="B14" s="151" t="s">
        <v>152</v>
      </c>
      <c r="C14" s="118">
        <v>0</v>
      </c>
      <c r="D14" s="18">
        <f>C14*2</f>
        <v>0</v>
      </c>
      <c r="E14" s="116">
        <v>1.5</v>
      </c>
      <c r="F14" s="123">
        <f>$D14*$E14*C5</f>
        <v>0</v>
      </c>
      <c r="G14" s="173">
        <f>$D14*$E14*E5</f>
        <v>0</v>
      </c>
      <c r="H14" s="22">
        <f>$D14*$E14*G5</f>
        <v>0</v>
      </c>
      <c r="I14" s="22">
        <f>$D14*$E14*I5</f>
        <v>0</v>
      </c>
      <c r="J14" s="121">
        <f>$D14*$E14*K5</f>
        <v>0</v>
      </c>
      <c r="K14" s="152"/>
      <c r="L14" s="167"/>
      <c r="M14" s="167"/>
    </row>
    <row r="15" spans="2:13" ht="12.75">
      <c r="B15" s="151" t="s">
        <v>61</v>
      </c>
      <c r="C15" s="118">
        <v>0</v>
      </c>
      <c r="D15" s="18">
        <f>C15*2</f>
        <v>0</v>
      </c>
      <c r="E15" s="116">
        <v>50</v>
      </c>
      <c r="F15" s="123">
        <f>D15*E15*C$6</f>
        <v>0</v>
      </c>
      <c r="G15" s="173">
        <f>D15*E15*E$6</f>
        <v>0</v>
      </c>
      <c r="H15" s="22">
        <f>D15*E15*G$6</f>
        <v>0</v>
      </c>
      <c r="I15" s="22">
        <f>D15*E15*I$6</f>
        <v>0</v>
      </c>
      <c r="J15" s="126">
        <f>D15*E15*K$6</f>
        <v>0</v>
      </c>
      <c r="K15" s="152"/>
      <c r="L15" s="167"/>
      <c r="M15" s="167"/>
    </row>
    <row r="16" spans="2:13" ht="13.5" thickBot="1">
      <c r="B16" s="170" t="s">
        <v>53</v>
      </c>
      <c r="C16" s="122">
        <v>0</v>
      </c>
      <c r="D16" s="85">
        <f>C16</f>
        <v>0</v>
      </c>
      <c r="E16" s="96">
        <v>4</v>
      </c>
      <c r="F16" s="124">
        <f>D16*E16*C$6</f>
        <v>0</v>
      </c>
      <c r="G16" s="174">
        <f>D16*E16*E$6</f>
        <v>0</v>
      </c>
      <c r="H16" s="120">
        <f>D16*E16*G$6</f>
        <v>0</v>
      </c>
      <c r="I16" s="120">
        <f>D16*E16*I$6</f>
        <v>0</v>
      </c>
      <c r="J16" s="113">
        <f>D16*E16*K$6</f>
        <v>0</v>
      </c>
      <c r="K16" s="152"/>
      <c r="L16" s="167"/>
      <c r="M16" s="167"/>
    </row>
    <row r="17" spans="2:13" ht="13.5" thickBot="1">
      <c r="B17" s="2"/>
      <c r="C17" s="6"/>
      <c r="D17" s="6"/>
      <c r="E17" s="6"/>
      <c r="F17" s="64"/>
      <c r="G17" s="64"/>
      <c r="H17" s="64"/>
      <c r="I17" s="64"/>
      <c r="J17" s="64"/>
      <c r="K17" s="153"/>
      <c r="L17" s="153"/>
      <c r="M17" s="153"/>
    </row>
    <row r="18" spans="1:13" ht="13.5" thickBot="1">
      <c r="A18" s="194"/>
      <c r="B18" s="43" t="s">
        <v>58</v>
      </c>
      <c r="C18" s="255" t="s">
        <v>54</v>
      </c>
      <c r="D18" s="255"/>
      <c r="E18" s="262" t="s">
        <v>0</v>
      </c>
      <c r="F18" s="255"/>
      <c r="G18" s="262" t="s">
        <v>1</v>
      </c>
      <c r="H18" s="255"/>
      <c r="I18" s="262" t="s">
        <v>2</v>
      </c>
      <c r="J18" s="262"/>
      <c r="K18" s="262" t="s">
        <v>6</v>
      </c>
      <c r="L18" s="262"/>
      <c r="M18" s="65" t="s">
        <v>3</v>
      </c>
    </row>
    <row r="19" spans="2:13" ht="24.75" customHeight="1">
      <c r="B19" s="280" t="s">
        <v>150</v>
      </c>
      <c r="C19" s="270">
        <f>C10+C12</f>
        <v>10</v>
      </c>
      <c r="D19" s="282">
        <f>D10+D12</f>
        <v>20</v>
      </c>
      <c r="E19" s="288">
        <f>F10+F12</f>
        <v>5.365116</v>
      </c>
      <c r="F19" s="263"/>
      <c r="G19" s="297">
        <f>G10+G12</f>
        <v>0.573804</v>
      </c>
      <c r="H19" s="263"/>
      <c r="I19" s="297">
        <f>H10+H12</f>
        <v>0.5831999999999999</v>
      </c>
      <c r="J19" s="263"/>
      <c r="K19" s="297">
        <f>I10+I12</f>
        <v>0.0032400000000000003</v>
      </c>
      <c r="L19" s="297"/>
      <c r="M19" s="260">
        <f>J10+J12</f>
        <v>0.025595999999999997</v>
      </c>
    </row>
    <row r="20" spans="2:13" ht="24.75" customHeight="1">
      <c r="B20" s="281"/>
      <c r="C20" s="271"/>
      <c r="D20" s="268"/>
      <c r="E20" s="271"/>
      <c r="F20" s="264"/>
      <c r="G20" s="264"/>
      <c r="H20" s="264"/>
      <c r="I20" s="264"/>
      <c r="J20" s="264"/>
      <c r="K20" s="259"/>
      <c r="L20" s="259"/>
      <c r="M20" s="261"/>
    </row>
    <row r="21" spans="2:13" ht="24.75" customHeight="1">
      <c r="B21" s="169" t="s">
        <v>153</v>
      </c>
      <c r="C21" s="118">
        <f>C14</f>
        <v>0</v>
      </c>
      <c r="D21" s="171">
        <f>D14</f>
        <v>0</v>
      </c>
      <c r="E21" s="285">
        <f>F14</f>
        <v>0</v>
      </c>
      <c r="F21" s="286"/>
      <c r="G21" s="283">
        <f>G14</f>
        <v>0</v>
      </c>
      <c r="H21" s="286"/>
      <c r="I21" s="283">
        <f>H14</f>
        <v>0</v>
      </c>
      <c r="J21" s="286"/>
      <c r="K21" s="283">
        <f>I14</f>
        <v>0</v>
      </c>
      <c r="L21" s="284"/>
      <c r="M21" s="126">
        <f>J14</f>
        <v>0</v>
      </c>
    </row>
    <row r="22" spans="2:13" ht="12.75" customHeight="1">
      <c r="B22" s="293" t="s">
        <v>62</v>
      </c>
      <c r="C22" s="271">
        <f>C13</f>
        <v>0</v>
      </c>
      <c r="D22" s="268">
        <f>D13</f>
        <v>0</v>
      </c>
      <c r="E22" s="277">
        <f>F13</f>
        <v>0</v>
      </c>
      <c r="F22" s="278"/>
      <c r="G22" s="259">
        <f>G13</f>
        <v>0</v>
      </c>
      <c r="H22" s="264"/>
      <c r="I22" s="259">
        <f>+H13</f>
        <v>0</v>
      </c>
      <c r="J22" s="264"/>
      <c r="K22" s="259">
        <f>I13</f>
        <v>0</v>
      </c>
      <c r="L22" s="259"/>
      <c r="M22" s="261">
        <f>J13</f>
        <v>0</v>
      </c>
    </row>
    <row r="23" spans="2:13" ht="15.75" customHeight="1">
      <c r="B23" s="294"/>
      <c r="C23" s="276"/>
      <c r="D23" s="279"/>
      <c r="E23" s="276"/>
      <c r="F23" s="278"/>
      <c r="G23" s="264"/>
      <c r="H23" s="264"/>
      <c r="I23" s="264"/>
      <c r="J23" s="264"/>
      <c r="K23" s="259"/>
      <c r="L23" s="259"/>
      <c r="M23" s="261"/>
    </row>
    <row r="24" spans="2:13" ht="27.75" customHeight="1" thickBot="1">
      <c r="B24" s="195" t="s">
        <v>63</v>
      </c>
      <c r="C24" s="122">
        <f>C16+C15</f>
        <v>0</v>
      </c>
      <c r="D24" s="165">
        <f>+D15+D16</f>
        <v>0</v>
      </c>
      <c r="E24" s="274">
        <f>+F15+F16</f>
        <v>0</v>
      </c>
      <c r="F24" s="275"/>
      <c r="G24" s="273">
        <f>G15+H15</f>
        <v>0</v>
      </c>
      <c r="H24" s="275"/>
      <c r="I24" s="273">
        <f>H15+H16</f>
        <v>0</v>
      </c>
      <c r="J24" s="275"/>
      <c r="K24" s="273">
        <f>I15+I16</f>
        <v>0</v>
      </c>
      <c r="L24" s="273"/>
      <c r="M24" s="113">
        <f>J15+J16</f>
        <v>0</v>
      </c>
    </row>
    <row r="25" spans="2:13" ht="14.25" customHeight="1" thickBot="1">
      <c r="B25" s="1" t="s">
        <v>212</v>
      </c>
      <c r="C25" s="1"/>
      <c r="D25" s="2"/>
      <c r="E25" s="262">
        <f>SUM(E19:F24)</f>
        <v>5.365116</v>
      </c>
      <c r="F25" s="255"/>
      <c r="G25" s="262">
        <f>SUM(G19:H24)</f>
        <v>0.573804</v>
      </c>
      <c r="H25" s="255"/>
      <c r="I25" s="262">
        <f>SUM(I19:J24)</f>
        <v>0.5831999999999999</v>
      </c>
      <c r="J25" s="255"/>
      <c r="K25" s="262">
        <f>SUM(K19:L24)</f>
        <v>0.0032400000000000003</v>
      </c>
      <c r="L25" s="255"/>
      <c r="M25" s="65">
        <f>SUM(M19:M24)</f>
        <v>0.025595999999999997</v>
      </c>
    </row>
    <row r="27" ht="12.75">
      <c r="B27" s="201" t="s">
        <v>326</v>
      </c>
    </row>
    <row r="28" ht="12.75">
      <c r="B28" s="13"/>
    </row>
    <row r="29" spans="2:13" ht="12.75">
      <c r="B29" t="s">
        <v>219</v>
      </c>
      <c r="M29" s="57"/>
    </row>
  </sheetData>
  <sheetProtection/>
  <mergeCells count="74">
    <mergeCell ref="H10:H11"/>
    <mergeCell ref="I10:I11"/>
    <mergeCell ref="J10:J11"/>
    <mergeCell ref="G3:H3"/>
    <mergeCell ref="G4:H4"/>
    <mergeCell ref="G6:H6"/>
    <mergeCell ref="G5:H5"/>
    <mergeCell ref="K5:L5"/>
    <mergeCell ref="I3:J3"/>
    <mergeCell ref="I4:J4"/>
    <mergeCell ref="I6:J6"/>
    <mergeCell ref="C8:E8"/>
    <mergeCell ref="F8:J8"/>
    <mergeCell ref="C3:D3"/>
    <mergeCell ref="C6:D6"/>
    <mergeCell ref="E2:F2"/>
    <mergeCell ref="E3:F3"/>
    <mergeCell ref="C2:D2"/>
    <mergeCell ref="C4:D4"/>
    <mergeCell ref="E4:F4"/>
    <mergeCell ref="C5:D5"/>
    <mergeCell ref="E5:F5"/>
    <mergeCell ref="E6:F6"/>
    <mergeCell ref="G2:H2"/>
    <mergeCell ref="K25:L25"/>
    <mergeCell ref="K24:L24"/>
    <mergeCell ref="E24:F24"/>
    <mergeCell ref="G24:H24"/>
    <mergeCell ref="I24:J24"/>
    <mergeCell ref="E25:F25"/>
    <mergeCell ref="G25:H25"/>
    <mergeCell ref="I25:J25"/>
    <mergeCell ref="K18:L18"/>
    <mergeCell ref="I2:J2"/>
    <mergeCell ref="K3:L3"/>
    <mergeCell ref="K4:L4"/>
    <mergeCell ref="K6:L6"/>
    <mergeCell ref="K2:L2"/>
    <mergeCell ref="I5:J5"/>
    <mergeCell ref="C22:C23"/>
    <mergeCell ref="M22:M23"/>
    <mergeCell ref="E22:F23"/>
    <mergeCell ref="G22:H23"/>
    <mergeCell ref="I22:J23"/>
    <mergeCell ref="K22:L23"/>
    <mergeCell ref="D22:D23"/>
    <mergeCell ref="B10:B11"/>
    <mergeCell ref="C10:C11"/>
    <mergeCell ref="D10:D11"/>
    <mergeCell ref="E10:E11"/>
    <mergeCell ref="D19:D20"/>
    <mergeCell ref="C18:D18"/>
    <mergeCell ref="G18:H18"/>
    <mergeCell ref="I18:J18"/>
    <mergeCell ref="K21:L21"/>
    <mergeCell ref="E21:F21"/>
    <mergeCell ref="G21:H21"/>
    <mergeCell ref="I21:J21"/>
    <mergeCell ref="B1:L1"/>
    <mergeCell ref="B22:B23"/>
    <mergeCell ref="A13:A14"/>
    <mergeCell ref="M19:M20"/>
    <mergeCell ref="E19:F20"/>
    <mergeCell ref="G19:H20"/>
    <mergeCell ref="I19:J20"/>
    <mergeCell ref="K19:L20"/>
    <mergeCell ref="B19:B20"/>
    <mergeCell ref="C19:C20"/>
    <mergeCell ref="L10:L11"/>
    <mergeCell ref="M10:M11"/>
    <mergeCell ref="K10:K11"/>
    <mergeCell ref="F10:F11"/>
    <mergeCell ref="G10:G11"/>
    <mergeCell ref="E18:F18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&amp;C&amp;"Arial,Bold"&amp;12Table B-9
Construction Vehicle Emissions - Additional Demolition Activities</oddHeader>
    <oddFooter>&amp;L&amp;8N:\\2185\&amp;F:&amp;A&amp;R&amp;8&amp;D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2004-12-02T18:45:24Z</cp:lastPrinted>
  <dcterms:created xsi:type="dcterms:W3CDTF">2001-03-17T00:01:53Z</dcterms:created>
  <dcterms:modified xsi:type="dcterms:W3CDTF">2014-08-06T19:18:19Z</dcterms:modified>
  <cp:category/>
  <cp:version/>
  <cp:contentType/>
  <cp:contentStatus/>
</cp:coreProperties>
</file>