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able 1" sheetId="1" r:id="rId1"/>
    <sheet name="Tables 2-7" sheetId="2" r:id="rId2"/>
    <sheet name="Table 8" sheetId="3" r:id="rId3"/>
    <sheet name="Tables 9-14" sheetId="4" r:id="rId4"/>
    <sheet name="Table 15" sheetId="5" r:id="rId5"/>
    <sheet name="Tables 16&amp;17" sheetId="6" r:id="rId6"/>
    <sheet name="Tables 18&amp;19" sheetId="7" r:id="rId7"/>
    <sheet name="Tables 20-25" sheetId="8" r:id="rId8"/>
    <sheet name="Tables 26&amp;27" sheetId="9" r:id="rId9"/>
    <sheet name="Tables 28-32" sheetId="10" r:id="rId10"/>
    <sheet name="Table 33" sheetId="11" r:id="rId11"/>
    <sheet name="Tables 34-38" sheetId="12" r:id="rId12"/>
  </sheets>
  <definedNames/>
  <calcPr fullCalcOnLoad="1"/>
</workbook>
</file>

<file path=xl/sharedStrings.xml><?xml version="1.0" encoding="utf-8"?>
<sst xmlns="http://schemas.openxmlformats.org/spreadsheetml/2006/main" count="860" uniqueCount="323">
  <si>
    <t>CO</t>
  </si>
  <si>
    <t>VOC</t>
  </si>
  <si>
    <t>NOx</t>
  </si>
  <si>
    <t>SOx</t>
  </si>
  <si>
    <t>PM10</t>
  </si>
  <si>
    <t>Equipment Type</t>
  </si>
  <si>
    <t>Fuel</t>
  </si>
  <si>
    <t>lb/hr</t>
  </si>
  <si>
    <t>Diesel</t>
  </si>
  <si>
    <t>Crane</t>
  </si>
  <si>
    <t>Welding Machine</t>
  </si>
  <si>
    <t>Backhoe</t>
  </si>
  <si>
    <t>Forklift</t>
  </si>
  <si>
    <t>Air Compressor</t>
  </si>
  <si>
    <t>Manlift</t>
  </si>
  <si>
    <t>Concrete Saw</t>
  </si>
  <si>
    <t>Gasoline</t>
  </si>
  <si>
    <t>Hours/
Day</t>
  </si>
  <si>
    <r>
      <t>Number/Month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</si>
  <si>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Numbers less than one reflect part-time use</t>
    </r>
  </si>
  <si>
    <t>lbs/day</t>
  </si>
  <si>
    <t>Total</t>
  </si>
  <si>
    <t>Fugitive Dust PM10 Emission Factors</t>
  </si>
  <si>
    <t>Material Handling (Soil Dropping)</t>
  </si>
  <si>
    <t>Parameter</t>
  </si>
  <si>
    <t>Value</t>
  </si>
  <si>
    <t>Basis</t>
  </si>
  <si>
    <t>Mean Wind Speed</t>
  </si>
  <si>
    <t>SCAQMD 1993 CEQA Air Quality Handbook, Default</t>
  </si>
  <si>
    <t>Moisture</t>
  </si>
  <si>
    <t>"Open Fugitive Dust PM10 Control Strategies Study," Midwest Research Institute, October 12, 1990.</t>
  </si>
  <si>
    <t>Number Drops</t>
  </si>
  <si>
    <t>Assumption</t>
  </si>
  <si>
    <t>Soil Density</t>
  </si>
  <si>
    <t>Table 2.46, Handbook of Solid Waste Management</t>
  </si>
  <si>
    <t>Emission Factor (Uncontrolled)</t>
  </si>
  <si>
    <t>lb/cu. yd</t>
  </si>
  <si>
    <t>Reduction from Watering Twice/Day</t>
  </si>
  <si>
    <t>Controlled Emission Factor</t>
  </si>
  <si>
    <t>Silt Content</t>
  </si>
  <si>
    <t>SCAQMD 1993 CEQA Air Quality Handbook, Overburden</t>
  </si>
  <si>
    <t>Storage Pile Wind Erosion</t>
  </si>
  <si>
    <t>Emission Factor [lb/day-acre] = 0.85 x (silt content [%] / 1.5) x (365 / 235) x (percentage of time unobstructed wind exceeds 12 mph / 15)</t>
  </si>
  <si>
    <t>Reference:  Fugitive Dust Background Document and Technical Information Document for Best Available Control Measures,</t>
  </si>
  <si>
    <t xml:space="preserve">                  EPA, September 1992</t>
  </si>
  <si>
    <t>Pct. time wind &gt; 12 mph</t>
  </si>
  <si>
    <t>lb/day-acre</t>
  </si>
  <si>
    <r>
      <t>Emission Factor [lb/cu. yd] = 0.0011 x (mean wind speed [mi/hr] / 5)</t>
    </r>
    <r>
      <rPr>
        <vertAlign val="superscript"/>
        <sz val="10"/>
        <rFont val="Arial"/>
        <family val="2"/>
      </rPr>
      <t>1.3</t>
    </r>
    <r>
      <rPr>
        <sz val="10"/>
        <rFont val="Arial"/>
        <family val="0"/>
      </rPr>
      <t xml:space="preserve"> / (moisture [%] / 2)^</t>
    </r>
    <r>
      <rPr>
        <vertAlign val="superscript"/>
        <sz val="10"/>
        <rFont val="Arial"/>
        <family val="2"/>
      </rPr>
      <t>1.4</t>
    </r>
    <r>
      <rPr>
        <sz val="10"/>
        <rFont val="Arial"/>
        <family val="2"/>
      </rPr>
      <t xml:space="preserve"> x (number drops per ton) x (density [ton/cu. yd])</t>
    </r>
  </si>
  <si>
    <t>Source</t>
  </si>
  <si>
    <t>Activity
Units</t>
  </si>
  <si>
    <t>Soil Handling</t>
  </si>
  <si>
    <t>Cu. Yds.</t>
  </si>
  <si>
    <t>Storage Piles</t>
  </si>
  <si>
    <t>Acres</t>
  </si>
  <si>
    <t>Fugitive PM10 Emission Source Activity by Month</t>
  </si>
  <si>
    <t>Emissions (lbs/day)</t>
  </si>
  <si>
    <t>Passenger Vehicles (pounds/mile)</t>
  </si>
  <si>
    <t>Delivery Trucks (pounds/mile)</t>
  </si>
  <si>
    <t>Source:  SCAQMD CEQA Analysis Guidance Handbook Web Site,</t>
  </si>
  <si>
    <t xml:space="preserve">               http://www.aqmd.gov/ceqa/hdbk.html</t>
  </si>
  <si>
    <t xml:space="preserve">Note:  The emission factors were compiled by running the California Air Resources Board's EMFAC2002 </t>
  </si>
  <si>
    <t>Motor Vehicle Exhaust Emission Factors</t>
  </si>
  <si>
    <t>Vehicle Type</t>
  </si>
  <si>
    <t>Road Type</t>
  </si>
  <si>
    <r>
      <t>On-Road Average
Vehicle Weight
(tons)</t>
    </r>
    <r>
      <rPr>
        <b/>
        <vertAlign val="superscript"/>
        <sz val="10"/>
        <rFont val="Arial"/>
        <family val="2"/>
      </rPr>
      <t>a</t>
    </r>
  </si>
  <si>
    <r>
      <t>Silt Loading
(g/m2)</t>
    </r>
    <r>
      <rPr>
        <b/>
        <vertAlign val="superscript"/>
        <sz val="10"/>
        <rFont val="Arial"/>
        <family val="2"/>
      </rPr>
      <t>b</t>
    </r>
  </si>
  <si>
    <r>
      <t>Emission
Factor
(lbs/mi)</t>
    </r>
    <r>
      <rPr>
        <b/>
        <vertAlign val="superscript"/>
        <sz val="10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</si>
  <si>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 Based on weight range for vehicle class</t>
    </r>
  </si>
  <si>
    <r>
      <t>b</t>
    </r>
    <r>
      <rPr>
        <sz val="8"/>
        <rFont val="Arial"/>
        <family val="2"/>
      </rPr>
      <t xml:space="preserve">  From ARB Emission Inventory Methodology 7.9, Entrained Paved Road Dust (1997)</t>
    </r>
  </si>
  <si>
    <t>On-site Pickup Truck</t>
  </si>
  <si>
    <t>On-site Stakebed Truck</t>
  </si>
  <si>
    <t>Off-Site Worker Commute</t>
  </si>
  <si>
    <t>Local</t>
  </si>
  <si>
    <t>Collector</t>
  </si>
  <si>
    <t>Motor Vehicle Entrained Paved Road PM10 Emission Factors</t>
  </si>
  <si>
    <t>Miles/
Veh.-Day</t>
  </si>
  <si>
    <t>Construction Equipment</t>
  </si>
  <si>
    <t>On-Site Fugitive PM10</t>
  </si>
  <si>
    <t>Motor Vehicles</t>
  </si>
  <si>
    <t>--</t>
  </si>
  <si>
    <t>CO
(lbs/day)</t>
  </si>
  <si>
    <t>VOC
(lbs/day)</t>
  </si>
  <si>
    <t>NOx
(lbs/day)</t>
  </si>
  <si>
    <t>SOx
(lbs/day)</t>
  </si>
  <si>
    <t>PM10
(lbs/day)</t>
  </si>
  <si>
    <t>Component Type</t>
  </si>
  <si>
    <t>C4 Feed</t>
  </si>
  <si>
    <t>Iso-Octene
Product</t>
  </si>
  <si>
    <t>C4 Raffinate</t>
  </si>
  <si>
    <t>C5 Product</t>
  </si>
  <si>
    <t>Bellow Seal Valves (BSVs)</t>
  </si>
  <si>
    <t>Non-BSVs (Gas Service)</t>
  </si>
  <si>
    <t>Non-BSVs (Light Liquid Service)</t>
  </si>
  <si>
    <t>Pumps (Light Liquid Service)</t>
  </si>
  <si>
    <t>Pressure Relief Valves</t>
  </si>
  <si>
    <t>Flanges (All)</t>
  </si>
  <si>
    <t>Number of Removed Components by Stream</t>
  </si>
  <si>
    <t>100% Methanol
Stream</t>
  </si>
  <si>
    <t>20% Methanol
Stream</t>
  </si>
  <si>
    <t>&lt; 0.1% Methanol
Stream</t>
  </si>
  <si>
    <t>Fugitive VOC Emissions from New Components by Stream (lbs/day)</t>
  </si>
  <si>
    <t>Fugitive VOC Emissions from Removed Components by Stream (lbs/day)</t>
  </si>
  <si>
    <t>Net Change in Fugitive VOC Emissions</t>
  </si>
  <si>
    <t>VOC
Emissions from
New
Components
(lbs/day)</t>
  </si>
  <si>
    <t>VOC
Emissions from
Removed
Components
(lbs/day)</t>
  </si>
  <si>
    <t>Net Change
in VOC
Emissions
(lbs/day)</t>
  </si>
  <si>
    <t>Process Stream Toxic Air Contaminant Concentrations</t>
  </si>
  <si>
    <t>Species</t>
  </si>
  <si>
    <t>CAS No.</t>
  </si>
  <si>
    <t>ACE No.</t>
  </si>
  <si>
    <t>Concentration (wt. percent)</t>
  </si>
  <si>
    <t>C4
Raffinate</t>
  </si>
  <si>
    <t>C5
Product</t>
  </si>
  <si>
    <t>Benzene</t>
  </si>
  <si>
    <t>71-43-2</t>
  </si>
  <si>
    <t>1,3-Butadiene</t>
  </si>
  <si>
    <t>106-99-0</t>
  </si>
  <si>
    <t>Cresol (Mixed)</t>
  </si>
  <si>
    <t>1319-77-3</t>
  </si>
  <si>
    <t>Hydrogen Cyanide</t>
  </si>
  <si>
    <t>74-90-8</t>
  </si>
  <si>
    <t>Hydrogen Sulfide</t>
  </si>
  <si>
    <t>111-65-9</t>
  </si>
  <si>
    <t>Methyl Alcohol</t>
  </si>
  <si>
    <t>67-56-1</t>
  </si>
  <si>
    <t>Naphthalene</t>
  </si>
  <si>
    <t>91-20-3</t>
  </si>
  <si>
    <t>Phenol</t>
  </si>
  <si>
    <t>108-95-2</t>
  </si>
  <si>
    <t>Propylene</t>
  </si>
  <si>
    <t>115-07-1</t>
  </si>
  <si>
    <t>Toluene</t>
  </si>
  <si>
    <t>108-88-3</t>
  </si>
  <si>
    <t>Xylenes (Mixed)</t>
  </si>
  <si>
    <t>1330-20-7</t>
  </si>
  <si>
    <t>2,2,4-Trimethyl Pentane</t>
  </si>
  <si>
    <t>54-08-41</t>
  </si>
  <si>
    <t>N/A</t>
  </si>
  <si>
    <t>Cumene</t>
  </si>
  <si>
    <t>98-82-8</t>
  </si>
  <si>
    <t>Ethyl Benzene</t>
  </si>
  <si>
    <t>100-41-4</t>
  </si>
  <si>
    <t>Hexane</t>
  </si>
  <si>
    <t>110-54-3</t>
  </si>
  <si>
    <t>Isopropyl Alcohol</t>
  </si>
  <si>
    <t>67-63-0</t>
  </si>
  <si>
    <t>Fugitive TAC Emissions from New Components</t>
  </si>
  <si>
    <t>Emissions (lbs/yr)</t>
  </si>
  <si>
    <t>Fugitive TAC Emissions from Removed Components</t>
  </si>
  <si>
    <t>Net Change in Fugitive TAC Emissions</t>
  </si>
  <si>
    <t>Emissions
from
New
Components
(lbs/yr)</t>
  </si>
  <si>
    <t>Emissions
from
Removed
Components
(lbs/yr)</t>
  </si>
  <si>
    <t>Net
Change
(lbs/yr)</t>
  </si>
  <si>
    <t>Area 30
ISO-Octene Unit</t>
  </si>
  <si>
    <r>
      <t>Emissions for ACE2588 Modeling (g/s</t>
    </r>
    <r>
      <rPr>
        <b/>
        <sz val="10"/>
        <rFont val="Arial"/>
        <family val="2"/>
      </rPr>
      <t>)</t>
    </r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</si>
  <si>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</si>
  <si>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</si>
  <si>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</si>
  <si>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</si>
  <si>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</si>
  <si>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</si>
  <si>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</si>
  <si>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</si>
  <si>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</si>
  <si>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</si>
  <si>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</si>
  <si>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</si>
  <si>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</si>
  <si>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</si>
  <si>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</si>
  <si>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</si>
  <si>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</si>
  <si>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Motor Vehicle Usage by Construction Month</t>
  </si>
  <si>
    <t>Table 21</t>
  </si>
  <si>
    <t>Table 22</t>
  </si>
  <si>
    <t>Table 23</t>
  </si>
  <si>
    <t>Table 24</t>
  </si>
  <si>
    <t>Construction Equipment Usage by Construction Month</t>
  </si>
  <si>
    <t>Table 25</t>
  </si>
  <si>
    <t>Table 26</t>
  </si>
  <si>
    <r>
      <t>Number of New Components by Stream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</si>
  <si>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Includes 15 percent contingency factor.  May 2001 FEIR used a 40 percent contingency.</t>
    </r>
  </si>
  <si>
    <t xml:space="preserve">      However, current design is more complete, so reduction in contingency factor is supported.</t>
  </si>
  <si>
    <t>Table 27</t>
  </si>
  <si>
    <r>
      <t>VOC Emission
Factor
(lbs/yr)</t>
    </r>
    <r>
      <rPr>
        <b/>
        <vertAlign val="superscript"/>
        <sz val="10"/>
        <rFont val="Arial"/>
        <family val="2"/>
      </rPr>
      <t>a</t>
    </r>
  </si>
  <si>
    <t xml:space="preserve">    SCAQMD-approved inspection and maintenance program to detect and remedy leaks from process components.</t>
  </si>
  <si>
    <r>
      <t>a</t>
    </r>
    <r>
      <rPr>
        <sz val="8"/>
        <rFont val="Arial"/>
        <family val="2"/>
      </rPr>
      <t xml:space="preserve">  Default emission factors from SCAQMD Guidelines for Fugitive Emissions Calculations, June 2003.  BP has in place a</t>
    </r>
  </si>
  <si>
    <t xml:space="preserve">    This program has reduced overall emissions to levels below those that would be calculated using the SCAQMD fugitive</t>
  </si>
  <si>
    <t xml:space="preserve">    VOC emission factors.  However, the default factors have been used for consistency with the analyses in the May 2001</t>
  </si>
  <si>
    <t xml:space="preserve">    FEIR.</t>
  </si>
  <si>
    <t>Table 28</t>
  </si>
  <si>
    <t>Table 29</t>
  </si>
  <si>
    <t>Table 30</t>
  </si>
  <si>
    <t>Table 31</t>
  </si>
  <si>
    <t>Table 32</t>
  </si>
  <si>
    <t>Table 33</t>
  </si>
  <si>
    <r>
      <t>c</t>
    </r>
    <r>
      <rPr>
        <sz val="8"/>
        <rFont val="Arial"/>
        <family val="2"/>
      </rPr>
      <t xml:space="preserve">  Emission factor [g/mi] = 7.26 (Silt Loading/2)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(Weight/3)</t>
    </r>
    <r>
      <rPr>
        <vertAlign val="superscript"/>
        <sz val="8"/>
        <rFont val="Arial"/>
        <family val="2"/>
      </rPr>
      <t>1.5</t>
    </r>
    <r>
      <rPr>
        <sz val="8"/>
        <rFont val="Arial"/>
        <family val="2"/>
      </rPr>
      <t xml:space="preserve">, </t>
    </r>
  </si>
  <si>
    <t xml:space="preserve">   from ARB Emission Inventory Methodology 7.9, Entrained Paved Road Dust (1997)</t>
  </si>
  <si>
    <r>
      <t>Number per Month</t>
    </r>
    <r>
      <rPr>
        <b/>
        <vertAlign val="superscript"/>
        <sz val="10"/>
        <rFont val="Arial"/>
        <family val="2"/>
      </rPr>
      <t>a</t>
    </r>
  </si>
  <si>
    <t>Mitigation Reduction (%)</t>
  </si>
  <si>
    <t>Mitigation Reduction (lb/day)</t>
  </si>
  <si>
    <t>Remaining Emissions (lb/day)</t>
  </si>
  <si>
    <t>Table 35</t>
  </si>
  <si>
    <t>No</t>
  </si>
  <si>
    <t>Process/Activity/Terminal</t>
  </si>
  <si>
    <t>Light Hydro Unit #1 Modifications</t>
  </si>
  <si>
    <t>ISO-SIV Conversion to Light Hydro Unit #2</t>
  </si>
  <si>
    <t>#3 Reformer Fractionator Modifications</t>
  </si>
  <si>
    <t>New FCCU Rerun Bottoms Splitter</t>
  </si>
  <si>
    <t>North Hydrogen Plant Modifications</t>
  </si>
  <si>
    <t>MTBE Unit Conversion to Iso-Octene</t>
  </si>
  <si>
    <t>Cat-Poly Unit Conversion to Dimerization Unit</t>
  </si>
  <si>
    <t>Mid-Barrel Unit Conversion to Gasoline Hydrotreater</t>
  </si>
  <si>
    <t>Tank Farm Piping Modifications</t>
  </si>
  <si>
    <t>New Pentane Transfer Pumps at Pentane Spheres</t>
  </si>
  <si>
    <t>Marine Terminal 2 Modifications for Ethanol Off-Loading</t>
  </si>
  <si>
    <t>Marine Terminal 2 Modifications for Pentanes Shipping</t>
  </si>
  <si>
    <t>East Hynes Terminal Modifications</t>
  </si>
  <si>
    <t>Vinvale Terminal Modifications</t>
  </si>
  <si>
    <t>Hathaway Terminal Modifications</t>
  </si>
  <si>
    <t>Carson Terminal Modifications</t>
  </si>
  <si>
    <t>Colton Terminal Modifications</t>
  </si>
  <si>
    <t>General Grading</t>
  </si>
  <si>
    <t>General Surface Coating</t>
  </si>
  <si>
    <t>General Asphaltic Paving</t>
  </si>
  <si>
    <t>Note:  Totals may not match sums of individual values due to rounding</t>
  </si>
  <si>
    <t>New Pentane Off-Loading Racks at Pentane Rail Car
Loading Facility</t>
  </si>
  <si>
    <t>Debutanizer Modifications in Gasoline Fractionation
Area</t>
  </si>
  <si>
    <t>Butane Loading Facilities at Polypropylene Loading
Facility</t>
  </si>
  <si>
    <t>CO
(lb/day)</t>
  </si>
  <si>
    <t>VOC
(lb/day)</t>
  </si>
  <si>
    <t>NOx
(lb/day)</t>
  </si>
  <si>
    <t>SOx
(lb/day)</t>
  </si>
  <si>
    <t>PM10
(lb/day)</t>
  </si>
  <si>
    <t>Daily Mitigated Construction Emissions Week of 1/3/2002 with Currently Proposed Project
Modifications Construction Emissions</t>
  </si>
  <si>
    <t>DIRECT EMISSIONS</t>
  </si>
  <si>
    <t>Fugitive VOC from components</t>
  </si>
  <si>
    <t>Railcar pentane loading</t>
  </si>
  <si>
    <t>Sulfur recovery plant</t>
  </si>
  <si>
    <t>Marine Terminal 2, Ethanol</t>
  </si>
  <si>
    <t>Marine Terminal 2, Pentane Storage and Shipping</t>
  </si>
  <si>
    <t>Marine tanker loading</t>
  </si>
  <si>
    <t>Pentane storage tank</t>
  </si>
  <si>
    <t>Demolished tanks</t>
  </si>
  <si>
    <t>Hathaway Terminal</t>
  </si>
  <si>
    <t>Ethanol tanker truck loading</t>
  </si>
  <si>
    <t>East Hynes Terminal</t>
  </si>
  <si>
    <t>Vinvale Terminal</t>
  </si>
  <si>
    <t>Carson Terminal</t>
  </si>
  <si>
    <t>Colton Terminal</t>
  </si>
  <si>
    <t>Total Direct Emissions</t>
  </si>
  <si>
    <t>Total Subject to RECLAIM</t>
  </si>
  <si>
    <t>INDIRECT EMISSIONS</t>
  </si>
  <si>
    <t>New LAR employee commuting</t>
  </si>
  <si>
    <t>Ethanol tanker trucks</t>
  </si>
  <si>
    <t>Total Indirect Emissions</t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</si>
  <si>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
(lb/day)</t>
    </r>
  </si>
  <si>
    <r>
      <t>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
(lb/day)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</si>
  <si>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
(lb/day)</t>
    </r>
  </si>
  <si>
    <t>Refinery</t>
  </si>
  <si>
    <t>CEQA Document</t>
  </si>
  <si>
    <t>Comparison of May 2001 Final EIR Peak Daily Operational Emissions with the
Currently Proposed Project Modifications Peak Daily Operational Emissions</t>
  </si>
  <si>
    <t>May 2001 Final EIR peak daily
operational emissions</t>
  </si>
  <si>
    <t>Currently proposed project
modifications peak daily operational emissions</t>
  </si>
  <si>
    <t>Change in operational emissions</t>
  </si>
  <si>
    <t>Does modified project substantially
increase operational emissions?</t>
  </si>
  <si>
    <t>Table 36</t>
  </si>
  <si>
    <t>Table 37</t>
  </si>
  <si>
    <t>Table 38</t>
  </si>
  <si>
    <t>Evaluated in May 2001 Final EIR</t>
  </si>
  <si>
    <t>Currently Proposed Project Modifications</t>
  </si>
  <si>
    <t>MTBE Unit Conversion
(lb/yr)</t>
  </si>
  <si>
    <t>Refinery Total
(lb/yr)</t>
  </si>
  <si>
    <t>Comparison of Toxic Air Contaminant Emissions in the May 2001 Final EIR with the Currently
Proposed Project Modifications</t>
  </si>
  <si>
    <t>Peak Daily Operational Emissions for the Currently Proposed Project Modifications</t>
  </si>
  <si>
    <t>Table 1</t>
  </si>
  <si>
    <t>Table 2</t>
  </si>
  <si>
    <t>Table 3</t>
  </si>
  <si>
    <t>Table 34</t>
  </si>
  <si>
    <t>65 Ton Crane</t>
  </si>
  <si>
    <r>
      <t>Construction Equipment Emission Factors</t>
    </r>
    <r>
      <rPr>
        <b/>
        <vertAlign val="superscript"/>
        <sz val="10"/>
        <rFont val="Arial"/>
        <family val="2"/>
      </rPr>
      <t>a</t>
    </r>
  </si>
  <si>
    <r>
      <t xml:space="preserve">a  </t>
    </r>
    <r>
      <rPr>
        <sz val="8"/>
        <rFont val="Arial"/>
        <family val="0"/>
      </rPr>
      <t>These are composite horsepower-based off-road emission factors for 2005 developed for the SCAQMD by CARB</t>
    </r>
  </si>
  <si>
    <t xml:space="preserve">   from its Off-road Model.  The composite off-road emission factors were derived based on the equipment category</t>
  </si>
  <si>
    <t xml:space="preserve">   (tractor, dozer, scraper, etc.), and average equipment age and horsepower rating within horsepower ranges for</t>
  </si>
  <si>
    <t xml:space="preserve">   the year.  The emission factors can be downloaded from http://www.aqmd.gov/ceqa/hdbk.html/offroadEF05_20.xls</t>
  </si>
  <si>
    <t xml:space="preserve">  The May 2001 Final EIR analysis calculated emissions from construction equipment exhaust using emission factors</t>
  </si>
  <si>
    <t xml:space="preserve">  from Table A9-8-B of the November 1993 SCAQMD CEQA Air Quality Handbook.  The emission factors in Table 9</t>
  </si>
  <si>
    <r>
      <t>b</t>
    </r>
    <r>
      <rPr>
        <sz val="8"/>
        <rFont val="Arial"/>
        <family val="2"/>
      </rPr>
      <t xml:space="preserve">  From Table A9-8-C of SCAQMD CEQA Air Quality Handbook, November 1993, for backhoe,welding machine,</t>
    </r>
  </si>
  <si>
    <t xml:space="preserve">   concrete pump and vibratory roller.  Others are from engineering firm estimates.</t>
  </si>
  <si>
    <r>
      <t>Horsepower</t>
    </r>
    <r>
      <rPr>
        <b/>
        <vertAlign val="superscript"/>
        <sz val="10"/>
        <rFont val="Arial"/>
        <family val="2"/>
      </rPr>
      <t>b</t>
    </r>
  </si>
  <si>
    <t xml:space="preserve">  are based on currently available information regarding emissions from construction equipment in the South Coast Air</t>
  </si>
  <si>
    <t xml:space="preserve">  Basin, including effects of emission standards for off-road engines that went into effect after 1993, and more</t>
  </si>
  <si>
    <t xml:space="preserve">  accurately represent emissions from construction equipment during construction of the currently  proposed project</t>
  </si>
  <si>
    <t xml:space="preserve">  modifications during 2005 than the emission factors in the 1993 SCAQMD CEQA Air Quality Handbook..</t>
  </si>
  <si>
    <t xml:space="preserve">The emission factors in Table 19  are based on currently available information regarding emissions from </t>
  </si>
  <si>
    <t xml:space="preserve">on-road motor vehicles in the South Coast Air  Basin and more accurately represent emissions from </t>
  </si>
  <si>
    <t>emission factors used in the May 2001 Final EIR analysis.</t>
  </si>
  <si>
    <t>The May 2001 Final EIR analysis calculated emissions from on-road motor vehicles using emission factors</t>
  </si>
  <si>
    <t>from the California Air Resources Board's EMFAC7G motor vehicle emission factor model for 2001.</t>
  </si>
  <si>
    <t>motor vehicles during construction of the currently  proposed project modifications in 2005 than the</t>
  </si>
  <si>
    <t xml:space="preserve">(version 2.2) Burden Model for calendar year 2005, taking the weighted average of vehicle types and </t>
  </si>
  <si>
    <t>simplifying into two categories which can be used to calculate on-road mobile source emissions.</t>
  </si>
  <si>
    <t xml:space="preserve">the VOC emission factors take into account diurnal, hotsoak, running and resting emissions, and PM10 </t>
  </si>
  <si>
    <t>emission factor takes into account the tire and brake wear.</t>
  </si>
  <si>
    <t>All the emission factors account for the emissions from start, running and idling exhaust.  In addition,</t>
  </si>
  <si>
    <t>Daily Mitigated CO Construction Emissions by Construction Month</t>
  </si>
  <si>
    <t>Daily Mitigated VOC Construction Emissions by Construction Month</t>
  </si>
  <si>
    <t>Daily Mitigated NOx Construction Emissions by Construction Month</t>
  </si>
  <si>
    <t>Daily Mitigated SOx Construction Emissions by Construction Month</t>
  </si>
  <si>
    <t>Daily Mitigated PM10 Construction Emissions by Construction Month</t>
  </si>
  <si>
    <t>Daily Unmitigated Construction Equipment CO Emissions by Construction Month</t>
  </si>
  <si>
    <t>Daily Unmitigated Construction Equipment VOC Emissions by Construction Month</t>
  </si>
  <si>
    <t>Daily Unmitigated Construction Equipment NOx Emissions by Construction Month</t>
  </si>
  <si>
    <t>Daily Unmitigated Construction Equipment SOx Emissions by Construction Month</t>
  </si>
  <si>
    <t>Daily Unmitigated Construction Equipment PM10 Emissions by Construction Month</t>
  </si>
  <si>
    <t>Daily Fugitive PM10 Emission Source Activity by Construction Month</t>
  </si>
  <si>
    <t>Daily Unmitigated Fugitive PM10 Emissions by Construction Month</t>
  </si>
  <si>
    <t>Daily Unmitigated Motor Vehicle CO Emissions by Construction Month</t>
  </si>
  <si>
    <t>Daily Unmitigated Motor Vehicle VOC Emissions by Construction Month</t>
  </si>
  <si>
    <t>Daily Unmitigated Motor Vehicle NOx Emissions by Construction Month</t>
  </si>
  <si>
    <t>Daily Unmitigated Motor Vehicle SOx Emissions by Construction Month</t>
  </si>
  <si>
    <t>Daily Unmitigated Motor Vehicle PM10 Emissions by Construction Month</t>
  </si>
  <si>
    <t>Maximum Daily Mitigated Construction Emissions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</si>
</sst>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#,##0.000"/>
    <numFmt numFmtId="168" formatCode="0.000000"/>
    <numFmt numFmtId="169" formatCode="0.000E+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1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12" xfId="0" applyNumberForma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2" fontId="0" fillId="0" borderId="12" xfId="0" applyNumberForma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Fill="1" applyBorder="1" applyAlignment="1">
      <alignment/>
    </xf>
    <xf numFmtId="165" fontId="0" fillId="0" borderId="12" xfId="0" applyNumberForma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2" fillId="0" borderId="12" xfId="0" applyNumberFormat="1" applyFont="1" applyBorder="1" applyAlignment="1" quotePrefix="1">
      <alignment horizontal="center"/>
    </xf>
    <xf numFmtId="4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7.7109375" style="0" bestFit="1" customWidth="1"/>
  </cols>
  <sheetData>
    <row r="1" spans="1:6" ht="12.75">
      <c r="A1" s="55" t="s">
        <v>275</v>
      </c>
      <c r="B1" s="55"/>
      <c r="C1" s="55"/>
      <c r="D1" s="55"/>
      <c r="E1" s="55"/>
      <c r="F1" s="55"/>
    </row>
    <row r="2" spans="1:6" ht="27" customHeight="1">
      <c r="A2" s="56" t="s">
        <v>234</v>
      </c>
      <c r="B2" s="56"/>
      <c r="C2" s="56"/>
      <c r="D2" s="56"/>
      <c r="E2" s="56"/>
      <c r="F2" s="56"/>
    </row>
    <row r="3" spans="1:6" ht="26.25">
      <c r="A3" s="3" t="s">
        <v>204</v>
      </c>
      <c r="B3" s="15" t="s">
        <v>229</v>
      </c>
      <c r="C3" s="15" t="s">
        <v>230</v>
      </c>
      <c r="D3" s="15" t="s">
        <v>231</v>
      </c>
      <c r="E3" s="15" t="s">
        <v>232</v>
      </c>
      <c r="F3" s="15" t="s">
        <v>233</v>
      </c>
    </row>
    <row r="4" spans="1:6" ht="12.75">
      <c r="A4" s="6" t="s">
        <v>205</v>
      </c>
      <c r="B4" s="42">
        <v>0</v>
      </c>
      <c r="C4" s="42">
        <v>0</v>
      </c>
      <c r="D4" s="42">
        <v>0</v>
      </c>
      <c r="E4" s="42">
        <v>0</v>
      </c>
      <c r="F4" s="42">
        <v>0</v>
      </c>
    </row>
    <row r="5" spans="1:6" ht="12.75">
      <c r="A5" s="6" t="s">
        <v>206</v>
      </c>
      <c r="B5" s="42">
        <v>132.4141840123457</v>
      </c>
      <c r="C5" s="42">
        <v>20.239488181657848</v>
      </c>
      <c r="D5" s="42">
        <v>103.31251236728394</v>
      </c>
      <c r="E5" s="42">
        <v>6.870352499999999</v>
      </c>
      <c r="F5" s="42">
        <v>37.87221766169948</v>
      </c>
    </row>
    <row r="6" spans="1:6" ht="12.75">
      <c r="A6" s="6" t="s">
        <v>207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</row>
    <row r="7" spans="1:6" ht="26.25">
      <c r="A7" s="45" t="s">
        <v>227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</row>
    <row r="8" spans="1:6" ht="12.75">
      <c r="A8" s="6" t="s">
        <v>208</v>
      </c>
      <c r="B8" s="42">
        <v>123.66838032627865</v>
      </c>
      <c r="C8" s="42">
        <v>20.267882482363316</v>
      </c>
      <c r="D8" s="42">
        <v>122.458579260582</v>
      </c>
      <c r="E8" s="42">
        <v>8.6834275</v>
      </c>
      <c r="F8" s="42">
        <v>38.731304734437956</v>
      </c>
    </row>
    <row r="9" spans="1:6" ht="12.75">
      <c r="A9" s="6" t="s">
        <v>209</v>
      </c>
      <c r="B9" s="42">
        <v>46.781754206349206</v>
      </c>
      <c r="C9" s="42">
        <v>7.678871955026455</v>
      </c>
      <c r="D9" s="42">
        <v>51.15230427204586</v>
      </c>
      <c r="E9" s="42">
        <v>3.9853164999999993</v>
      </c>
      <c r="F9" s="42">
        <v>10.509801194785979</v>
      </c>
    </row>
    <row r="10" spans="1:6" ht="12.75">
      <c r="A10" s="6" t="s">
        <v>210</v>
      </c>
      <c r="B10" s="42">
        <f>'Tables 2-7'!B16</f>
        <v>73.38125000000001</v>
      </c>
      <c r="C10" s="42">
        <f>'Tables 2-7'!C16</f>
        <v>11.69865</v>
      </c>
      <c r="D10" s="42">
        <f>'Tables 2-7'!D16</f>
        <v>42.58535</v>
      </c>
      <c r="E10" s="42">
        <f>'Tables 2-7'!E16</f>
        <v>5.468150000000001</v>
      </c>
      <c r="F10" s="42">
        <f>'Tables 2-7'!F16</f>
        <v>8.473105400294449</v>
      </c>
    </row>
    <row r="11" spans="1:6" ht="12.75">
      <c r="A11" s="30" t="s">
        <v>211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</row>
    <row r="12" spans="1:6" ht="12.75">
      <c r="A12" s="30" t="s">
        <v>212</v>
      </c>
      <c r="B12" s="42">
        <v>65.454361340388</v>
      </c>
      <c r="C12" s="42">
        <v>10.796557656084655</v>
      </c>
      <c r="D12" s="42">
        <v>66.35297683156966</v>
      </c>
      <c r="E12" s="42">
        <v>4.7915339999999995</v>
      </c>
      <c r="F12" s="42">
        <v>19.711304032021857</v>
      </c>
    </row>
    <row r="13" spans="1:6" ht="12.75">
      <c r="A13" s="6" t="s">
        <v>213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</row>
    <row r="14" spans="1:6" ht="26.25">
      <c r="A14" s="45" t="s">
        <v>226</v>
      </c>
      <c r="B14" s="42">
        <v>73.84061373015872</v>
      </c>
      <c r="C14" s="42">
        <v>11.133032883597883</v>
      </c>
      <c r="D14" s="42">
        <v>51.465128181216926</v>
      </c>
      <c r="E14" s="42">
        <v>3.2357094999999996</v>
      </c>
      <c r="F14" s="42">
        <v>25.347183645877706</v>
      </c>
    </row>
    <row r="15" spans="1:6" ht="12.75">
      <c r="A15" s="30" t="s">
        <v>214</v>
      </c>
      <c r="B15" s="42">
        <v>39.76023285714285</v>
      </c>
      <c r="C15" s="42">
        <v>6.472188833774251</v>
      </c>
      <c r="D15" s="42">
        <v>38.08059114902998</v>
      </c>
      <c r="E15" s="42">
        <v>2.577996</v>
      </c>
      <c r="F15" s="42">
        <v>14.761142106630238</v>
      </c>
    </row>
    <row r="16" spans="1:6" ht="26.25">
      <c r="A16" s="45" t="s">
        <v>228</v>
      </c>
      <c r="B16" s="42">
        <v>102.91941244268077</v>
      </c>
      <c r="C16" s="42">
        <v>16.835644682098764</v>
      </c>
      <c r="D16" s="42">
        <v>104.43957703306879</v>
      </c>
      <c r="E16" s="42">
        <v>6.9412415</v>
      </c>
      <c r="F16" s="42">
        <v>50.71233327222223</v>
      </c>
    </row>
    <row r="17" spans="1:6" ht="12.75">
      <c r="A17" s="30" t="s">
        <v>215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</row>
    <row r="18" spans="1:6" ht="12.75">
      <c r="A18" s="30" t="s">
        <v>216</v>
      </c>
      <c r="B18" s="42">
        <v>72.77216959435626</v>
      </c>
      <c r="C18" s="42">
        <v>11.962479268077601</v>
      </c>
      <c r="D18" s="42">
        <v>69.37409981922399</v>
      </c>
      <c r="E18" s="42">
        <v>5.048566</v>
      </c>
      <c r="F18" s="42">
        <v>19.751876957579</v>
      </c>
    </row>
    <row r="19" spans="1:6" ht="12.75">
      <c r="A19" s="6" t="s">
        <v>217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</row>
    <row r="20" spans="1:6" ht="12.75">
      <c r="A20" s="6" t="s">
        <v>218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</row>
    <row r="21" spans="1:6" ht="12.75">
      <c r="A21" s="6" t="s">
        <v>219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</row>
    <row r="22" spans="1:6" ht="12.75">
      <c r="A22" s="6" t="s">
        <v>220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</row>
    <row r="23" spans="1:6" ht="12.75">
      <c r="A23" s="6" t="s">
        <v>221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</row>
    <row r="24" spans="1:6" ht="12.75">
      <c r="A24" s="6" t="s">
        <v>222</v>
      </c>
      <c r="B24" s="42">
        <v>0</v>
      </c>
      <c r="C24" s="42">
        <v>0</v>
      </c>
      <c r="D24" s="42">
        <v>0</v>
      </c>
      <c r="E24" s="42">
        <v>0</v>
      </c>
      <c r="F24" s="42">
        <v>1.8254141518615192</v>
      </c>
    </row>
    <row r="25" spans="1:6" ht="12.75">
      <c r="A25" s="6" t="s">
        <v>223</v>
      </c>
      <c r="B25" s="42">
        <v>0</v>
      </c>
      <c r="C25" s="42">
        <v>24</v>
      </c>
      <c r="D25" s="42">
        <v>0</v>
      </c>
      <c r="E25" s="42">
        <v>0</v>
      </c>
      <c r="F25" s="42">
        <v>0</v>
      </c>
    </row>
    <row r="26" spans="1:6" ht="12.75">
      <c r="A26" s="6" t="s">
        <v>224</v>
      </c>
      <c r="B26" s="42">
        <v>0</v>
      </c>
      <c r="C26" s="42">
        <v>0.10742000000000002</v>
      </c>
      <c r="D26" s="42">
        <v>0</v>
      </c>
      <c r="E26" s="42">
        <v>0</v>
      </c>
      <c r="F26" s="42">
        <v>0</v>
      </c>
    </row>
    <row r="27" spans="1:6" ht="12.75">
      <c r="A27" s="19" t="s">
        <v>21</v>
      </c>
      <c r="B27" s="43">
        <f>SUM(B4:B26)</f>
        <v>730.9923585097001</v>
      </c>
      <c r="C27" s="43">
        <f>SUM(C4:C26)</f>
        <v>141.19221594268078</v>
      </c>
      <c r="D27" s="43">
        <f>SUM(D4:D26)</f>
        <v>649.2211189140211</v>
      </c>
      <c r="E27" s="43">
        <f>SUM(E4:E26)</f>
        <v>47.602293499999995</v>
      </c>
      <c r="F27" s="43">
        <f>SUM(F4:F26)</f>
        <v>227.6956831574104</v>
      </c>
    </row>
    <row r="28" ht="12.75">
      <c r="A28" s="46" t="s">
        <v>225</v>
      </c>
    </row>
  </sheetData>
  <sheetProtection/>
  <mergeCells count="2">
    <mergeCell ref="A1:F1"/>
    <mergeCell ref="A2:F2"/>
  </mergeCells>
  <printOptions horizontalCentered="1"/>
  <pageMargins left="0.75" right="0.75" top="1" bottom="1" header="0.5" footer="0.5"/>
  <pageSetup fitToHeight="99" horizontalDpi="600" verticalDpi="600" orientation="landscape" r:id="rId1"/>
  <headerFooter alignWithMargins="0">
    <oddFooter>&amp;CC.1-&amp;P&amp;RApril 2005 Addendum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421875" style="0" customWidth="1"/>
    <col min="2" max="2" width="12.57421875" style="0" customWidth="1"/>
    <col min="3" max="5" width="12.00390625" style="0" customWidth="1"/>
    <col min="6" max="6" width="10.8515625" style="0" customWidth="1"/>
    <col min="7" max="10" width="10.7109375" style="0" customWidth="1"/>
  </cols>
  <sheetData>
    <row r="1" spans="1:5" ht="12.75">
      <c r="A1" s="55" t="s">
        <v>190</v>
      </c>
      <c r="B1" s="55"/>
      <c r="C1" s="55"/>
      <c r="D1" s="55"/>
      <c r="E1" s="55"/>
    </row>
    <row r="2" spans="1:6" ht="15">
      <c r="A2" s="58" t="s">
        <v>180</v>
      </c>
      <c r="B2" s="58"/>
      <c r="C2" s="58"/>
      <c r="D2" s="58"/>
      <c r="E2" s="58"/>
      <c r="F2" s="5"/>
    </row>
    <row r="3" spans="1:5" ht="26.25">
      <c r="A3" s="3" t="s">
        <v>85</v>
      </c>
      <c r="B3" s="3" t="s">
        <v>86</v>
      </c>
      <c r="C3" s="15" t="s">
        <v>87</v>
      </c>
      <c r="D3" s="3" t="s">
        <v>88</v>
      </c>
      <c r="E3" s="3" t="s">
        <v>89</v>
      </c>
    </row>
    <row r="4" spans="1:5" ht="12.75">
      <c r="A4" s="31" t="s">
        <v>90</v>
      </c>
      <c r="B4" s="7">
        <v>41</v>
      </c>
      <c r="C4" s="7">
        <v>12</v>
      </c>
      <c r="D4" s="7">
        <v>9</v>
      </c>
      <c r="E4" s="7">
        <v>37</v>
      </c>
    </row>
    <row r="5" spans="1:5" ht="12.75">
      <c r="A5" s="31" t="s">
        <v>91</v>
      </c>
      <c r="B5" s="7"/>
      <c r="C5" s="7"/>
      <c r="D5" s="7"/>
      <c r="E5" s="7"/>
    </row>
    <row r="6" spans="1:5" ht="12.75">
      <c r="A6" s="31" t="s">
        <v>92</v>
      </c>
      <c r="B6" s="7">
        <v>2</v>
      </c>
      <c r="C6" s="7"/>
      <c r="D6" s="7"/>
      <c r="E6" s="7">
        <v>5</v>
      </c>
    </row>
    <row r="7" spans="1:5" ht="12.75">
      <c r="A7" s="31" t="s">
        <v>93</v>
      </c>
      <c r="B7" s="7"/>
      <c r="C7" s="7">
        <v>4</v>
      </c>
      <c r="D7" s="7"/>
      <c r="E7" s="7">
        <v>2</v>
      </c>
    </row>
    <row r="8" spans="1:5" ht="12.75">
      <c r="A8" s="31" t="s">
        <v>94</v>
      </c>
      <c r="B8" s="7">
        <v>3</v>
      </c>
      <c r="C8" s="7"/>
      <c r="D8" s="7">
        <v>3</v>
      </c>
      <c r="E8" s="7">
        <v>1</v>
      </c>
    </row>
    <row r="9" spans="1:5" ht="12.75">
      <c r="A9" s="31" t="s">
        <v>95</v>
      </c>
      <c r="B9" s="7">
        <v>107</v>
      </c>
      <c r="C9" s="7">
        <v>21</v>
      </c>
      <c r="D9" s="7">
        <v>10</v>
      </c>
      <c r="E9" s="7">
        <v>89</v>
      </c>
    </row>
    <row r="10" ht="12.75">
      <c r="A10" s="16" t="s">
        <v>181</v>
      </c>
    </row>
    <row r="11" ht="12.75">
      <c r="A11" s="9" t="s">
        <v>182</v>
      </c>
    </row>
    <row r="13" spans="1:5" ht="12.75">
      <c r="A13" s="55" t="s">
        <v>191</v>
      </c>
      <c r="B13" s="55"/>
      <c r="C13" s="55"/>
      <c r="D13" s="55"/>
      <c r="E13" s="55"/>
    </row>
    <row r="14" spans="1:6" ht="12.75">
      <c r="A14" s="58" t="s">
        <v>96</v>
      </c>
      <c r="B14" s="58"/>
      <c r="C14" s="58"/>
      <c r="D14" s="58"/>
      <c r="E14" s="58"/>
      <c r="F14" s="5"/>
    </row>
    <row r="15" spans="1:5" ht="39">
      <c r="A15" s="3" t="s">
        <v>85</v>
      </c>
      <c r="B15" s="3" t="s">
        <v>86</v>
      </c>
      <c r="C15" s="15" t="s">
        <v>97</v>
      </c>
      <c r="D15" s="15" t="s">
        <v>98</v>
      </c>
      <c r="E15" s="15" t="s">
        <v>99</v>
      </c>
    </row>
    <row r="16" spans="1:5" ht="12.75">
      <c r="A16" s="31" t="s">
        <v>90</v>
      </c>
      <c r="B16" s="7"/>
      <c r="C16" s="7"/>
      <c r="D16" s="7">
        <v>2</v>
      </c>
      <c r="E16" s="7">
        <v>3</v>
      </c>
    </row>
    <row r="17" spans="1:5" ht="12.75">
      <c r="A17" s="31" t="s">
        <v>91</v>
      </c>
      <c r="B17" s="7">
        <v>6</v>
      </c>
      <c r="C17" s="7"/>
      <c r="D17" s="7"/>
      <c r="E17" s="7"/>
    </row>
    <row r="18" spans="1:5" ht="12.75">
      <c r="A18" s="31" t="s">
        <v>92</v>
      </c>
      <c r="B18" s="7">
        <v>23</v>
      </c>
      <c r="C18" s="7">
        <v>2</v>
      </c>
      <c r="D18" s="7">
        <v>10</v>
      </c>
      <c r="E18" s="7">
        <v>3</v>
      </c>
    </row>
    <row r="19" spans="1:5" ht="12.75">
      <c r="A19" s="31" t="s">
        <v>93</v>
      </c>
      <c r="B19" s="7">
        <v>2</v>
      </c>
      <c r="C19" s="7">
        <v>2</v>
      </c>
      <c r="D19" s="7"/>
      <c r="E19" s="7">
        <v>2</v>
      </c>
    </row>
    <row r="20" spans="1:5" ht="12.75">
      <c r="A20" s="31" t="s">
        <v>94</v>
      </c>
      <c r="B20" s="7"/>
      <c r="C20" s="7"/>
      <c r="D20" s="7"/>
      <c r="E20" s="7"/>
    </row>
    <row r="21" spans="1:5" ht="12.75">
      <c r="A21" s="31" t="s">
        <v>95</v>
      </c>
      <c r="B21" s="7">
        <v>44</v>
      </c>
      <c r="C21" s="7">
        <v>2</v>
      </c>
      <c r="D21" s="7">
        <v>15</v>
      </c>
      <c r="E21" s="7">
        <v>13</v>
      </c>
    </row>
    <row r="23" spans="1:6" ht="12.75">
      <c r="A23" s="55" t="s">
        <v>192</v>
      </c>
      <c r="B23" s="55"/>
      <c r="C23" s="55"/>
      <c r="D23" s="55"/>
      <c r="E23" s="55"/>
      <c r="F23" s="55"/>
    </row>
    <row r="24" spans="1:7" ht="12.75">
      <c r="A24" s="58" t="s">
        <v>100</v>
      </c>
      <c r="B24" s="58"/>
      <c r="C24" s="58"/>
      <c r="D24" s="58"/>
      <c r="E24" s="58"/>
      <c r="F24" s="58"/>
      <c r="G24" s="5"/>
    </row>
    <row r="25" spans="1:7" ht="54.75">
      <c r="A25" s="3" t="s">
        <v>85</v>
      </c>
      <c r="B25" s="15" t="s">
        <v>184</v>
      </c>
      <c r="C25" s="3" t="s">
        <v>86</v>
      </c>
      <c r="D25" s="15" t="s">
        <v>87</v>
      </c>
      <c r="E25" s="3" t="s">
        <v>88</v>
      </c>
      <c r="F25" s="3" t="s">
        <v>89</v>
      </c>
      <c r="G25" s="33"/>
    </row>
    <row r="26" spans="1:7" ht="12.75">
      <c r="A26" s="31" t="s">
        <v>90</v>
      </c>
      <c r="B26" s="7">
        <v>0</v>
      </c>
      <c r="C26" s="25">
        <f aca="true" t="shared" si="0" ref="C26:F31">$B26*B4/365</f>
        <v>0</v>
      </c>
      <c r="D26" s="25">
        <f t="shared" si="0"/>
        <v>0</v>
      </c>
      <c r="E26" s="25">
        <f t="shared" si="0"/>
        <v>0</v>
      </c>
      <c r="F26" s="25">
        <f t="shared" si="0"/>
        <v>0</v>
      </c>
      <c r="G26" s="34"/>
    </row>
    <row r="27" spans="1:7" ht="12.75">
      <c r="A27" s="31" t="s">
        <v>91</v>
      </c>
      <c r="B27" s="7">
        <v>72</v>
      </c>
      <c r="C27" s="25">
        <f t="shared" si="0"/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  <c r="G27" s="34"/>
    </row>
    <row r="28" spans="1:7" ht="12.75">
      <c r="A28" s="31" t="s">
        <v>92</v>
      </c>
      <c r="B28" s="7">
        <v>57</v>
      </c>
      <c r="C28" s="25">
        <f t="shared" si="0"/>
        <v>0.31232876712328766</v>
      </c>
      <c r="D28" s="25">
        <f t="shared" si="0"/>
        <v>0</v>
      </c>
      <c r="E28" s="25">
        <f t="shared" si="0"/>
        <v>0</v>
      </c>
      <c r="F28" s="25">
        <f t="shared" si="0"/>
        <v>0.7808219178082192</v>
      </c>
      <c r="G28" s="34"/>
    </row>
    <row r="29" spans="1:7" ht="12.75">
      <c r="A29" s="31" t="s">
        <v>93</v>
      </c>
      <c r="B29" s="7">
        <v>520</v>
      </c>
      <c r="C29" s="25">
        <f t="shared" si="0"/>
        <v>0</v>
      </c>
      <c r="D29" s="25">
        <f t="shared" si="0"/>
        <v>5.698630136986301</v>
      </c>
      <c r="E29" s="25">
        <f t="shared" si="0"/>
        <v>0</v>
      </c>
      <c r="F29" s="25">
        <f t="shared" si="0"/>
        <v>2.8493150684931505</v>
      </c>
      <c r="G29" s="34"/>
    </row>
    <row r="30" spans="1:7" ht="12.75">
      <c r="A30" s="31" t="s">
        <v>94</v>
      </c>
      <c r="B30" s="7">
        <v>0</v>
      </c>
      <c r="C30" s="25">
        <f t="shared" si="0"/>
        <v>0</v>
      </c>
      <c r="D30" s="25">
        <f t="shared" si="0"/>
        <v>0</v>
      </c>
      <c r="E30" s="25">
        <f t="shared" si="0"/>
        <v>0</v>
      </c>
      <c r="F30" s="25">
        <f t="shared" si="0"/>
        <v>0</v>
      </c>
      <c r="G30" s="34"/>
    </row>
    <row r="31" spans="1:7" ht="12.75">
      <c r="A31" s="31" t="s">
        <v>95</v>
      </c>
      <c r="B31" s="7">
        <v>4.9</v>
      </c>
      <c r="C31" s="25">
        <f t="shared" si="0"/>
        <v>1.4364383561643836</v>
      </c>
      <c r="D31" s="25">
        <f t="shared" si="0"/>
        <v>0.2819178082191781</v>
      </c>
      <c r="E31" s="25">
        <f t="shared" si="0"/>
        <v>0.13424657534246576</v>
      </c>
      <c r="F31" s="25">
        <f t="shared" si="0"/>
        <v>1.1947945205479453</v>
      </c>
      <c r="G31" s="34"/>
    </row>
    <row r="32" spans="1:7" ht="12.75">
      <c r="A32" s="19" t="s">
        <v>21</v>
      </c>
      <c r="B32" s="6"/>
      <c r="C32" s="26">
        <f>SUM(C26:C31)</f>
        <v>1.7487671232876714</v>
      </c>
      <c r="D32" s="26">
        <f>SUM(D26:D31)</f>
        <v>5.980547945205479</v>
      </c>
      <c r="E32" s="26">
        <f>SUM(E26:E31)</f>
        <v>0.13424657534246576</v>
      </c>
      <c r="F32" s="26">
        <f>SUM(F26:F31)</f>
        <v>4.824931506849315</v>
      </c>
      <c r="G32" s="34"/>
    </row>
    <row r="33" ht="12.75">
      <c r="A33" s="16" t="s">
        <v>186</v>
      </c>
    </row>
    <row r="34" ht="12.75">
      <c r="A34" s="9" t="s">
        <v>185</v>
      </c>
    </row>
    <row r="35" ht="12.75">
      <c r="A35" s="9" t="s">
        <v>187</v>
      </c>
    </row>
    <row r="36" ht="12.75">
      <c r="A36" s="9" t="s">
        <v>188</v>
      </c>
    </row>
    <row r="37" ht="12.75">
      <c r="A37" s="9" t="s">
        <v>189</v>
      </c>
    </row>
    <row r="39" spans="1:6" ht="12.75">
      <c r="A39" s="55" t="s">
        <v>193</v>
      </c>
      <c r="B39" s="55"/>
      <c r="C39" s="55"/>
      <c r="D39" s="55"/>
      <c r="E39" s="55"/>
      <c r="F39" s="55"/>
    </row>
    <row r="40" spans="1:7" ht="12.75">
      <c r="A40" s="58" t="s">
        <v>101</v>
      </c>
      <c r="B40" s="58"/>
      <c r="C40" s="58"/>
      <c r="D40" s="58"/>
      <c r="E40" s="58"/>
      <c r="F40" s="58"/>
      <c r="G40" s="5"/>
    </row>
    <row r="41" spans="1:7" ht="54.75">
      <c r="A41" s="3" t="s">
        <v>85</v>
      </c>
      <c r="B41" s="15" t="s">
        <v>184</v>
      </c>
      <c r="C41" s="3" t="s">
        <v>86</v>
      </c>
      <c r="D41" s="15" t="s">
        <v>97</v>
      </c>
      <c r="E41" s="15" t="s">
        <v>98</v>
      </c>
      <c r="F41" s="15" t="s">
        <v>99</v>
      </c>
      <c r="G41" s="33"/>
    </row>
    <row r="42" spans="1:7" ht="12.75">
      <c r="A42" s="31" t="s">
        <v>90</v>
      </c>
      <c r="B42" s="7">
        <v>0</v>
      </c>
      <c r="C42" s="25">
        <f aca="true" t="shared" si="1" ref="C42:F47">$B42*B16/365</f>
        <v>0</v>
      </c>
      <c r="D42" s="25">
        <f t="shared" si="1"/>
        <v>0</v>
      </c>
      <c r="E42" s="25">
        <f t="shared" si="1"/>
        <v>0</v>
      </c>
      <c r="F42" s="25">
        <f t="shared" si="1"/>
        <v>0</v>
      </c>
      <c r="G42" s="34"/>
    </row>
    <row r="43" spans="1:7" ht="12.75">
      <c r="A43" s="31" t="s">
        <v>91</v>
      </c>
      <c r="B43" s="7">
        <v>72</v>
      </c>
      <c r="C43" s="25">
        <f t="shared" si="1"/>
        <v>1.1835616438356165</v>
      </c>
      <c r="D43" s="25">
        <f t="shared" si="1"/>
        <v>0</v>
      </c>
      <c r="E43" s="25">
        <f t="shared" si="1"/>
        <v>0</v>
      </c>
      <c r="F43" s="25">
        <f t="shared" si="1"/>
        <v>0</v>
      </c>
      <c r="G43" s="34"/>
    </row>
    <row r="44" spans="1:7" ht="12.75">
      <c r="A44" s="31" t="s">
        <v>92</v>
      </c>
      <c r="B44" s="7">
        <v>57</v>
      </c>
      <c r="C44" s="25">
        <f t="shared" si="1"/>
        <v>3.591780821917808</v>
      </c>
      <c r="D44" s="25">
        <f t="shared" si="1"/>
        <v>0.31232876712328766</v>
      </c>
      <c r="E44" s="25">
        <f t="shared" si="1"/>
        <v>1.5616438356164384</v>
      </c>
      <c r="F44" s="25">
        <f t="shared" si="1"/>
        <v>0.4684931506849315</v>
      </c>
      <c r="G44" s="34"/>
    </row>
    <row r="45" spans="1:7" ht="12.75">
      <c r="A45" s="31" t="s">
        <v>93</v>
      </c>
      <c r="B45" s="7">
        <v>520</v>
      </c>
      <c r="C45" s="25">
        <f t="shared" si="1"/>
        <v>2.8493150684931505</v>
      </c>
      <c r="D45" s="25">
        <f t="shared" si="1"/>
        <v>2.8493150684931505</v>
      </c>
      <c r="E45" s="25">
        <f t="shared" si="1"/>
        <v>0</v>
      </c>
      <c r="F45" s="25">
        <f t="shared" si="1"/>
        <v>2.8493150684931505</v>
      </c>
      <c r="G45" s="34"/>
    </row>
    <row r="46" spans="1:7" ht="12.75">
      <c r="A46" s="31" t="s">
        <v>94</v>
      </c>
      <c r="B46" s="7">
        <v>0</v>
      </c>
      <c r="C46" s="25">
        <f t="shared" si="1"/>
        <v>0</v>
      </c>
      <c r="D46" s="25">
        <f t="shared" si="1"/>
        <v>0</v>
      </c>
      <c r="E46" s="25">
        <f t="shared" si="1"/>
        <v>0</v>
      </c>
      <c r="F46" s="25">
        <f t="shared" si="1"/>
        <v>0</v>
      </c>
      <c r="G46" s="34"/>
    </row>
    <row r="47" spans="1:7" ht="12.75">
      <c r="A47" s="31" t="s">
        <v>95</v>
      </c>
      <c r="B47" s="7">
        <v>4.9</v>
      </c>
      <c r="C47" s="25">
        <f t="shared" si="1"/>
        <v>0.5906849315068494</v>
      </c>
      <c r="D47" s="25">
        <f t="shared" si="1"/>
        <v>0.026849315068493154</v>
      </c>
      <c r="E47" s="25">
        <f t="shared" si="1"/>
        <v>0.20136986301369864</v>
      </c>
      <c r="F47" s="25">
        <f t="shared" si="1"/>
        <v>0.1745205479452055</v>
      </c>
      <c r="G47" s="34"/>
    </row>
    <row r="48" spans="1:7" ht="12.75">
      <c r="A48" s="19" t="s">
        <v>21</v>
      </c>
      <c r="B48" s="6"/>
      <c r="C48" s="26">
        <f>SUM(C42:C47)</f>
        <v>8.215342465753425</v>
      </c>
      <c r="D48" s="26">
        <f>SUM(D42:D47)</f>
        <v>3.188493150684931</v>
      </c>
      <c r="E48" s="26">
        <f>SUM(E42:E47)</f>
        <v>1.763013698630137</v>
      </c>
      <c r="F48" s="26">
        <f>SUM(F42:F47)</f>
        <v>3.4923287671232877</v>
      </c>
      <c r="G48" s="34"/>
    </row>
    <row r="49" spans="1:7" ht="12.75">
      <c r="A49" s="16" t="s">
        <v>186</v>
      </c>
      <c r="B49" s="10"/>
      <c r="C49" s="34"/>
      <c r="D49" s="34"/>
      <c r="E49" s="34"/>
      <c r="F49" s="34"/>
      <c r="G49" s="34"/>
    </row>
    <row r="50" spans="1:7" ht="12.75">
      <c r="A50" s="9" t="s">
        <v>185</v>
      </c>
      <c r="B50" s="10"/>
      <c r="C50" s="34"/>
      <c r="D50" s="34"/>
      <c r="E50" s="34"/>
      <c r="F50" s="34"/>
      <c r="G50" s="34"/>
    </row>
    <row r="51" spans="1:7" ht="12.75">
      <c r="A51" s="9" t="s">
        <v>187</v>
      </c>
      <c r="B51" s="10"/>
      <c r="C51" s="34"/>
      <c r="D51" s="34"/>
      <c r="E51" s="34"/>
      <c r="F51" s="34"/>
      <c r="G51" s="34"/>
    </row>
    <row r="52" spans="1:7" ht="12.75">
      <c r="A52" s="9" t="s">
        <v>188</v>
      </c>
      <c r="B52" s="10"/>
      <c r="C52" s="34"/>
      <c r="D52" s="34"/>
      <c r="E52" s="34"/>
      <c r="F52" s="34"/>
      <c r="G52" s="34"/>
    </row>
    <row r="53" ht="12.75">
      <c r="A53" s="9" t="s">
        <v>189</v>
      </c>
    </row>
    <row r="55" spans="1:4" ht="12.75">
      <c r="A55" s="55" t="s">
        <v>194</v>
      </c>
      <c r="B55" s="55"/>
      <c r="C55" s="55"/>
      <c r="D55" s="55"/>
    </row>
    <row r="56" spans="1:7" ht="12.75">
      <c r="A56" s="58" t="s">
        <v>102</v>
      </c>
      <c r="B56" s="58"/>
      <c r="C56" s="58"/>
      <c r="D56" s="58"/>
      <c r="E56" s="5"/>
      <c r="F56" s="5"/>
      <c r="G56" s="5"/>
    </row>
    <row r="57" spans="1:7" ht="92.25">
      <c r="A57" s="3" t="s">
        <v>85</v>
      </c>
      <c r="B57" s="15" t="s">
        <v>103</v>
      </c>
      <c r="C57" s="15" t="s">
        <v>104</v>
      </c>
      <c r="D57" s="15" t="s">
        <v>105</v>
      </c>
      <c r="E57" s="5"/>
      <c r="F57" s="5"/>
      <c r="G57" s="33"/>
    </row>
    <row r="58" spans="1:7" ht="12.75">
      <c r="A58" s="31" t="s">
        <v>90</v>
      </c>
      <c r="B58" s="25">
        <f aca="true" t="shared" si="2" ref="B58:B63">SUM(C26:F26)</f>
        <v>0</v>
      </c>
      <c r="C58" s="25">
        <f aca="true" t="shared" si="3" ref="C58:C63">SUM(C42:F42)</f>
        <v>0</v>
      </c>
      <c r="D58" s="25">
        <f aca="true" t="shared" si="4" ref="D58:D63">B58-C58</f>
        <v>0</v>
      </c>
      <c r="E58" s="35"/>
      <c r="F58" s="35"/>
      <c r="G58" s="34"/>
    </row>
    <row r="59" spans="1:7" ht="12.75">
      <c r="A59" s="31" t="s">
        <v>91</v>
      </c>
      <c r="B59" s="25">
        <f t="shared" si="2"/>
        <v>0</v>
      </c>
      <c r="C59" s="25">
        <f t="shared" si="3"/>
        <v>1.1835616438356165</v>
      </c>
      <c r="D59" s="25">
        <f t="shared" si="4"/>
        <v>-1.1835616438356165</v>
      </c>
      <c r="E59" s="35"/>
      <c r="F59" s="35"/>
      <c r="G59" s="34"/>
    </row>
    <row r="60" spans="1:7" ht="12.75">
      <c r="A60" s="31" t="s">
        <v>92</v>
      </c>
      <c r="B60" s="25">
        <f t="shared" si="2"/>
        <v>1.093150684931507</v>
      </c>
      <c r="C60" s="25">
        <f t="shared" si="3"/>
        <v>5.934246575342465</v>
      </c>
      <c r="D60" s="25">
        <f t="shared" si="4"/>
        <v>-4.8410958904109584</v>
      </c>
      <c r="E60" s="35"/>
      <c r="F60" s="35"/>
      <c r="G60" s="34"/>
    </row>
    <row r="61" spans="1:7" ht="12.75">
      <c r="A61" s="31" t="s">
        <v>93</v>
      </c>
      <c r="B61" s="25">
        <f t="shared" si="2"/>
        <v>8.54794520547945</v>
      </c>
      <c r="C61" s="25">
        <f t="shared" si="3"/>
        <v>8.54794520547945</v>
      </c>
      <c r="D61" s="25">
        <f t="shared" si="4"/>
        <v>0</v>
      </c>
      <c r="E61" s="35"/>
      <c r="F61" s="35"/>
      <c r="G61" s="34"/>
    </row>
    <row r="62" spans="1:7" ht="12.75">
      <c r="A62" s="31" t="s">
        <v>94</v>
      </c>
      <c r="B62" s="25">
        <f t="shared" si="2"/>
        <v>0</v>
      </c>
      <c r="C62" s="25">
        <f t="shared" si="3"/>
        <v>0</v>
      </c>
      <c r="D62" s="25">
        <f t="shared" si="4"/>
        <v>0</v>
      </c>
      <c r="E62" s="35"/>
      <c r="F62" s="35"/>
      <c r="G62" s="34"/>
    </row>
    <row r="63" spans="1:7" ht="12.75">
      <c r="A63" s="31" t="s">
        <v>95</v>
      </c>
      <c r="B63" s="25">
        <f t="shared" si="2"/>
        <v>3.047397260273973</v>
      </c>
      <c r="C63" s="25">
        <f t="shared" si="3"/>
        <v>0.9934246575342467</v>
      </c>
      <c r="D63" s="25">
        <f t="shared" si="4"/>
        <v>2.0539726027397265</v>
      </c>
      <c r="E63" s="35"/>
      <c r="F63" s="35"/>
      <c r="G63" s="34"/>
    </row>
    <row r="64" spans="1:7" ht="12.75">
      <c r="A64" s="19" t="s">
        <v>21</v>
      </c>
      <c r="B64" s="26">
        <f>SUM(B58:B63)</f>
        <v>12.68849315068493</v>
      </c>
      <c r="C64" s="26">
        <f>SUM(C58:C63)</f>
        <v>16.65917808219178</v>
      </c>
      <c r="D64" s="26">
        <f>SUM(D58:D63)</f>
        <v>-3.970684931506849</v>
      </c>
      <c r="E64" s="34"/>
      <c r="F64" s="34"/>
      <c r="G64" s="34"/>
    </row>
  </sheetData>
  <sheetProtection/>
  <mergeCells count="10">
    <mergeCell ref="A1:E1"/>
    <mergeCell ref="A13:E13"/>
    <mergeCell ref="A24:F24"/>
    <mergeCell ref="A23:F23"/>
    <mergeCell ref="A56:D56"/>
    <mergeCell ref="A2:E2"/>
    <mergeCell ref="A14:E14"/>
    <mergeCell ref="A39:F39"/>
    <mergeCell ref="A40:F40"/>
    <mergeCell ref="A55:D55"/>
  </mergeCells>
  <printOptions horizontalCentered="1"/>
  <pageMargins left="0.75" right="0.75" top="1" bottom="1" header="0.5" footer="0.5"/>
  <pageSetup fitToHeight="99" horizontalDpi="600" verticalDpi="600" orientation="portrait" r:id="rId1"/>
  <headerFooter alignWithMargins="0">
    <oddFooter>&amp;CC.1-&amp;P&amp;RApril 2005 Addendum</oddFooter>
  </headerFooter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0" bestFit="1" customWidth="1"/>
    <col min="2" max="2" width="21.421875" style="0" bestFit="1" customWidth="1"/>
    <col min="3" max="3" width="16.00390625" style="0" customWidth="1"/>
    <col min="4" max="4" width="21.421875" style="0" bestFit="1" customWidth="1"/>
    <col min="5" max="5" width="17.00390625" style="0" customWidth="1"/>
  </cols>
  <sheetData>
    <row r="1" spans="1:5" ht="12.75">
      <c r="A1" s="55" t="s">
        <v>195</v>
      </c>
      <c r="B1" s="55"/>
      <c r="C1" s="55"/>
      <c r="D1" s="55"/>
      <c r="E1" s="55"/>
    </row>
    <row r="2" spans="1:5" ht="25.5" customHeight="1">
      <c r="A2" s="56" t="s">
        <v>273</v>
      </c>
      <c r="B2" s="56"/>
      <c r="C2" s="56"/>
      <c r="D2" s="56"/>
      <c r="E2" s="56"/>
    </row>
    <row r="3" spans="1:5" ht="12.75">
      <c r="A3" s="57" t="s">
        <v>107</v>
      </c>
      <c r="B3" s="57" t="s">
        <v>269</v>
      </c>
      <c r="C3" s="57"/>
      <c r="D3" s="57" t="s">
        <v>270</v>
      </c>
      <c r="E3" s="57"/>
    </row>
    <row r="4" spans="1:5" ht="26.25">
      <c r="A4" s="59"/>
      <c r="B4" s="15" t="s">
        <v>271</v>
      </c>
      <c r="C4" s="15" t="s">
        <v>272</v>
      </c>
      <c r="D4" s="15" t="s">
        <v>271</v>
      </c>
      <c r="E4" s="15" t="s">
        <v>272</v>
      </c>
    </row>
    <row r="5" spans="1:5" ht="12.75">
      <c r="A5" s="31" t="s">
        <v>113</v>
      </c>
      <c r="B5" s="47">
        <v>0</v>
      </c>
      <c r="C5" s="48">
        <v>-1345.2028740000003</v>
      </c>
      <c r="D5" s="47">
        <f>'Tables 34-38'!F72</f>
        <v>0</v>
      </c>
      <c r="E5" s="47">
        <f>C5-B5+D5</f>
        <v>-1345.2028740000003</v>
      </c>
    </row>
    <row r="6" spans="1:5" ht="12.75">
      <c r="A6" s="31" t="s">
        <v>115</v>
      </c>
      <c r="B6" s="47">
        <v>-5.649800000000001</v>
      </c>
      <c r="C6" s="48">
        <v>-5.634067000000001</v>
      </c>
      <c r="D6" s="47">
        <f>'Tables 34-38'!F73</f>
        <v>-4.6961</v>
      </c>
      <c r="E6" s="47">
        <f aca="true" t="shared" si="0" ref="E6:E20">C6-B6+D6</f>
        <v>-4.680367</v>
      </c>
    </row>
    <row r="7" spans="1:5" ht="12.75">
      <c r="A7" s="31" t="s">
        <v>117</v>
      </c>
      <c r="B7" s="47">
        <v>0</v>
      </c>
      <c r="C7" s="48">
        <v>0.35944740000000003</v>
      </c>
      <c r="D7" s="47">
        <f>'Tables 34-38'!F74</f>
        <v>0</v>
      </c>
      <c r="E7" s="47">
        <f t="shared" si="0"/>
        <v>0.35944740000000003</v>
      </c>
    </row>
    <row r="8" spans="1:5" ht="12.75">
      <c r="A8" s="31" t="s">
        <v>119</v>
      </c>
      <c r="B8" s="47">
        <v>-0.00028249000000000004</v>
      </c>
      <c r="C8" s="48">
        <v>0.6451975100000001</v>
      </c>
      <c r="D8" s="47">
        <f>'Tables 34-38'!F75</f>
        <v>0</v>
      </c>
      <c r="E8" s="47">
        <f t="shared" si="0"/>
        <v>0.6454800000000002</v>
      </c>
    </row>
    <row r="9" spans="1:5" ht="12.75">
      <c r="A9" s="31" t="s">
        <v>121</v>
      </c>
      <c r="B9" s="47">
        <v>0</v>
      </c>
      <c r="C9" s="48">
        <v>0.6454800000000002</v>
      </c>
      <c r="D9" s="47">
        <f>'Tables 34-38'!F76</f>
        <v>0</v>
      </c>
      <c r="E9" s="47">
        <f t="shared" si="0"/>
        <v>0.6454800000000002</v>
      </c>
    </row>
    <row r="10" spans="1:5" ht="12.75">
      <c r="A10" s="31" t="s">
        <v>123</v>
      </c>
      <c r="B10" s="47">
        <v>0</v>
      </c>
      <c r="C10" s="48">
        <v>0</v>
      </c>
      <c r="D10" s="47">
        <f>'Tables 34-38'!F77</f>
        <v>-1292.4999999999998</v>
      </c>
      <c r="E10" s="47">
        <f t="shared" si="0"/>
        <v>-1292.4999999999998</v>
      </c>
    </row>
    <row r="11" spans="1:5" ht="12.75">
      <c r="A11" s="31" t="s">
        <v>125</v>
      </c>
      <c r="B11" s="47">
        <v>-18.361850000000004</v>
      </c>
      <c r="C11" s="48">
        <v>275.555688</v>
      </c>
      <c r="D11" s="47">
        <f>'Tables 34-38'!F78</f>
        <v>0</v>
      </c>
      <c r="E11" s="47">
        <f t="shared" si="0"/>
        <v>293.917538</v>
      </c>
    </row>
    <row r="12" spans="1:5" ht="12.75">
      <c r="A12" s="31" t="s">
        <v>127</v>
      </c>
      <c r="B12" s="47">
        <v>0</v>
      </c>
      <c r="C12" s="48">
        <v>-0.5583930000000001</v>
      </c>
      <c r="D12" s="47">
        <f>'Tables 34-38'!F79</f>
        <v>0</v>
      </c>
      <c r="E12" s="47">
        <f t="shared" si="0"/>
        <v>-0.5583930000000001</v>
      </c>
    </row>
    <row r="13" spans="1:5" ht="12.75">
      <c r="A13" s="31" t="s">
        <v>129</v>
      </c>
      <c r="B13" s="47">
        <v>-494.3575</v>
      </c>
      <c r="C13" s="48">
        <v>-749.1472299999999</v>
      </c>
      <c r="D13" s="47">
        <f>'Tables 34-38'!F80</f>
        <v>-23.015</v>
      </c>
      <c r="E13" s="47">
        <f t="shared" si="0"/>
        <v>-277.8047299999999</v>
      </c>
    </row>
    <row r="14" spans="1:5" ht="12.75">
      <c r="A14" s="31" t="s">
        <v>131</v>
      </c>
      <c r="B14" s="47">
        <v>0</v>
      </c>
      <c r="C14" s="48">
        <v>233.73928550000008</v>
      </c>
      <c r="D14" s="47">
        <f>'Tables 34-38'!F81</f>
        <v>0</v>
      </c>
      <c r="E14" s="47">
        <f t="shared" si="0"/>
        <v>233.73928550000008</v>
      </c>
    </row>
    <row r="15" spans="1:5" ht="12.75">
      <c r="A15" s="31" t="s">
        <v>133</v>
      </c>
      <c r="B15" s="47">
        <v>0</v>
      </c>
      <c r="C15" s="48">
        <v>705.3470979999998</v>
      </c>
      <c r="D15" s="47">
        <f>'Tables 34-38'!F82</f>
        <v>0</v>
      </c>
      <c r="E15" s="47">
        <f t="shared" si="0"/>
        <v>705.3470979999998</v>
      </c>
    </row>
    <row r="16" spans="1:5" ht="12.75">
      <c r="A16" s="31" t="s">
        <v>135</v>
      </c>
      <c r="B16" s="47">
        <v>0</v>
      </c>
      <c r="C16" s="48">
        <v>916.9860555000002</v>
      </c>
      <c r="D16" s="47">
        <f>'Tables 34-38'!F83</f>
        <v>0</v>
      </c>
      <c r="E16" s="47">
        <f t="shared" si="0"/>
        <v>916.9860555000002</v>
      </c>
    </row>
    <row r="17" spans="1:5" ht="12.75">
      <c r="A17" s="31" t="s">
        <v>138</v>
      </c>
      <c r="B17" s="47">
        <v>0</v>
      </c>
      <c r="C17" s="48">
        <v>1.8724510000000003</v>
      </c>
      <c r="D17" s="47">
        <f>'Tables 34-38'!F84</f>
        <v>0</v>
      </c>
      <c r="E17" s="47">
        <f t="shared" si="0"/>
        <v>1.8724510000000003</v>
      </c>
    </row>
    <row r="18" spans="1:5" ht="12.75">
      <c r="A18" s="31" t="s">
        <v>140</v>
      </c>
      <c r="B18" s="47">
        <v>0</v>
      </c>
      <c r="C18" s="48">
        <v>-18.491110999999975</v>
      </c>
      <c r="D18" s="47">
        <f>'Tables 34-38'!F85</f>
        <v>0</v>
      </c>
      <c r="E18" s="47">
        <f t="shared" si="0"/>
        <v>-18.491110999999975</v>
      </c>
    </row>
    <row r="19" spans="1:5" ht="12.75">
      <c r="A19" s="31" t="s">
        <v>142</v>
      </c>
      <c r="B19" s="47">
        <v>0</v>
      </c>
      <c r="C19" s="48">
        <v>-4209.695908000001</v>
      </c>
      <c r="D19" s="47">
        <f>'Tables 34-38'!F86</f>
        <v>0</v>
      </c>
      <c r="E19" s="47">
        <f t="shared" si="0"/>
        <v>-4209.695908000001</v>
      </c>
    </row>
    <row r="20" spans="1:5" ht="12.75">
      <c r="A20" s="31" t="s">
        <v>144</v>
      </c>
      <c r="B20" s="47">
        <v>0</v>
      </c>
      <c r="C20" s="47">
        <v>0</v>
      </c>
      <c r="D20" s="47">
        <f>'Tables 34-38'!F87</f>
        <v>0.0147</v>
      </c>
      <c r="E20" s="47">
        <f t="shared" si="0"/>
        <v>0.0147</v>
      </c>
    </row>
  </sheetData>
  <sheetProtection/>
  <mergeCells count="5">
    <mergeCell ref="A1:E1"/>
    <mergeCell ref="A3:A4"/>
    <mergeCell ref="B3:C3"/>
    <mergeCell ref="D3:E3"/>
    <mergeCell ref="A2:E2"/>
  </mergeCells>
  <printOptions horizontalCentered="1"/>
  <pageMargins left="0.75" right="0.75" top="1" bottom="1" header="0.5" footer="0.5"/>
  <pageSetup fitToHeight="99" fitToWidth="1" horizontalDpi="600" verticalDpi="600" orientation="landscape" r:id="rId1"/>
  <headerFooter alignWithMargins="0">
    <oddFooter>&amp;CC.1-&amp;P&amp;RApril 2005 Addendum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2.00390625" style="0" bestFit="1" customWidth="1"/>
    <col min="4" max="5" width="12.7109375" style="0" customWidth="1"/>
    <col min="6" max="6" width="9.57421875" style="0" bestFit="1" customWidth="1"/>
  </cols>
  <sheetData>
    <row r="1" spans="1:10" ht="12.75">
      <c r="A1" s="55" t="s">
        <v>278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8" t="s">
        <v>106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7" t="s">
        <v>107</v>
      </c>
      <c r="B3" s="57" t="s">
        <v>108</v>
      </c>
      <c r="C3" s="57" t="s">
        <v>109</v>
      </c>
      <c r="D3" s="57" t="s">
        <v>110</v>
      </c>
      <c r="E3" s="57"/>
      <c r="F3" s="57"/>
      <c r="G3" s="57"/>
      <c r="H3" s="57"/>
      <c r="I3" s="57"/>
      <c r="J3" s="57"/>
    </row>
    <row r="4" spans="1:10" ht="39">
      <c r="A4" s="59"/>
      <c r="B4" s="59"/>
      <c r="C4" s="59"/>
      <c r="D4" s="3" t="s">
        <v>86</v>
      </c>
      <c r="E4" s="15" t="s">
        <v>87</v>
      </c>
      <c r="F4" s="15" t="s">
        <v>111</v>
      </c>
      <c r="G4" s="15" t="s">
        <v>112</v>
      </c>
      <c r="H4" s="15" t="s">
        <v>97</v>
      </c>
      <c r="I4" s="15" t="s">
        <v>98</v>
      </c>
      <c r="J4" s="15" t="s">
        <v>99</v>
      </c>
    </row>
    <row r="5" spans="1:10" ht="12.75">
      <c r="A5" s="31" t="s">
        <v>113</v>
      </c>
      <c r="B5" s="36" t="s">
        <v>114</v>
      </c>
      <c r="C5" s="36">
        <v>13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</row>
    <row r="6" spans="1:10" ht="12.75">
      <c r="A6" s="31" t="s">
        <v>115</v>
      </c>
      <c r="B6" s="36" t="s">
        <v>116</v>
      </c>
      <c r="C6" s="36">
        <v>20</v>
      </c>
      <c r="D6" s="37">
        <v>0.2</v>
      </c>
      <c r="E6" s="37">
        <v>0</v>
      </c>
      <c r="F6" s="37">
        <v>0.05</v>
      </c>
      <c r="G6" s="37">
        <v>0</v>
      </c>
      <c r="H6" s="37">
        <v>0</v>
      </c>
      <c r="I6" s="37">
        <v>0</v>
      </c>
      <c r="J6" s="37">
        <v>0</v>
      </c>
    </row>
    <row r="7" spans="1:10" ht="12.75">
      <c r="A7" s="31" t="s">
        <v>117</v>
      </c>
      <c r="B7" s="36" t="s">
        <v>118</v>
      </c>
      <c r="C7" s="36">
        <v>41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</row>
    <row r="8" spans="1:10" ht="12.75">
      <c r="A8" s="31" t="s">
        <v>119</v>
      </c>
      <c r="B8" s="36" t="s">
        <v>120</v>
      </c>
      <c r="C8" s="36">
        <v>79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</row>
    <row r="9" spans="1:10" ht="12.75">
      <c r="A9" s="31" t="s">
        <v>121</v>
      </c>
      <c r="B9" s="36" t="s">
        <v>122</v>
      </c>
      <c r="C9" s="36">
        <v>81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</row>
    <row r="10" spans="1:10" ht="12.75">
      <c r="A10" s="31" t="s">
        <v>123</v>
      </c>
      <c r="B10" s="36" t="s">
        <v>124</v>
      </c>
      <c r="C10" s="36">
        <v>88</v>
      </c>
      <c r="D10" s="37">
        <v>0</v>
      </c>
      <c r="E10" s="37">
        <v>0</v>
      </c>
      <c r="F10" s="37">
        <v>0</v>
      </c>
      <c r="G10" s="37">
        <v>0</v>
      </c>
      <c r="H10" s="37">
        <v>100</v>
      </c>
      <c r="I10" s="37">
        <v>20</v>
      </c>
      <c r="J10" s="37">
        <v>0</v>
      </c>
    </row>
    <row r="11" spans="1:10" ht="12.75">
      <c r="A11" s="31" t="s">
        <v>125</v>
      </c>
      <c r="B11" s="36" t="s">
        <v>126</v>
      </c>
      <c r="C11" s="36">
        <v>110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</row>
    <row r="12" spans="1:10" ht="12.75">
      <c r="A12" s="31" t="s">
        <v>127</v>
      </c>
      <c r="B12" s="36" t="s">
        <v>128</v>
      </c>
      <c r="C12" s="36">
        <v>124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</row>
    <row r="13" spans="1:10" ht="12.75">
      <c r="A13" s="31" t="s">
        <v>129</v>
      </c>
      <c r="B13" s="36" t="s">
        <v>130</v>
      </c>
      <c r="C13" s="36">
        <v>134</v>
      </c>
      <c r="D13" s="37">
        <v>1</v>
      </c>
      <c r="E13" s="37">
        <v>0</v>
      </c>
      <c r="F13" s="37">
        <v>1.2</v>
      </c>
      <c r="G13" s="37">
        <v>0</v>
      </c>
      <c r="H13" s="37">
        <v>0</v>
      </c>
      <c r="I13" s="37">
        <v>0</v>
      </c>
      <c r="J13" s="37">
        <v>0</v>
      </c>
    </row>
    <row r="14" spans="1:10" ht="12.75">
      <c r="A14" s="31" t="s">
        <v>131</v>
      </c>
      <c r="B14" s="36" t="s">
        <v>132</v>
      </c>
      <c r="C14" s="36">
        <v>145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</row>
    <row r="15" spans="1:10" ht="12.75">
      <c r="A15" s="31" t="s">
        <v>133</v>
      </c>
      <c r="B15" s="36" t="s">
        <v>134</v>
      </c>
      <c r="C15" s="36">
        <v>151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</row>
    <row r="16" spans="1:10" ht="12.75">
      <c r="A16" s="31" t="s">
        <v>135</v>
      </c>
      <c r="B16" s="7" t="s">
        <v>136</v>
      </c>
      <c r="C16" s="36" t="s">
        <v>137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</row>
    <row r="17" spans="1:10" ht="12.75">
      <c r="A17" s="31" t="s">
        <v>138</v>
      </c>
      <c r="B17" s="7" t="s">
        <v>139</v>
      </c>
      <c r="C17" s="36" t="s">
        <v>137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</row>
    <row r="18" spans="1:10" ht="12.75">
      <c r="A18" s="31" t="s">
        <v>140</v>
      </c>
      <c r="B18" s="7" t="s">
        <v>141</v>
      </c>
      <c r="C18" s="36" t="s">
        <v>137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</row>
    <row r="19" spans="1:10" ht="12.75">
      <c r="A19" s="31" t="s">
        <v>142</v>
      </c>
      <c r="B19" s="7" t="s">
        <v>143</v>
      </c>
      <c r="C19" s="36" t="s">
        <v>137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ht="12.75">
      <c r="A20" s="31" t="s">
        <v>144</v>
      </c>
      <c r="B20" s="36" t="s">
        <v>145</v>
      </c>
      <c r="C20" s="36" t="s">
        <v>137</v>
      </c>
      <c r="D20" s="37">
        <v>0</v>
      </c>
      <c r="E20" s="37">
        <v>0</v>
      </c>
      <c r="F20" s="37">
        <v>0.03</v>
      </c>
      <c r="G20" s="37">
        <v>0</v>
      </c>
      <c r="H20" s="37">
        <v>0</v>
      </c>
      <c r="I20" s="37">
        <v>0</v>
      </c>
      <c r="J20" s="37">
        <v>0</v>
      </c>
    </row>
    <row r="22" spans="1:7" ht="12.75">
      <c r="A22" s="55" t="s">
        <v>202</v>
      </c>
      <c r="B22" s="55"/>
      <c r="C22" s="55"/>
      <c r="D22" s="55"/>
      <c r="E22" s="55"/>
      <c r="F22" s="55"/>
      <c r="G22" s="55"/>
    </row>
    <row r="23" spans="1:7" ht="12.75">
      <c r="A23" s="58" t="s">
        <v>146</v>
      </c>
      <c r="B23" s="58"/>
      <c r="C23" s="58"/>
      <c r="D23" s="58"/>
      <c r="E23" s="58"/>
      <c r="F23" s="58"/>
      <c r="G23" s="58"/>
    </row>
    <row r="24" spans="1:7" ht="12.75">
      <c r="A24" s="57" t="s">
        <v>107</v>
      </c>
      <c r="B24" s="57" t="s">
        <v>108</v>
      </c>
      <c r="C24" s="57" t="s">
        <v>109</v>
      </c>
      <c r="D24" s="57" t="s">
        <v>147</v>
      </c>
      <c r="E24" s="57"/>
      <c r="F24" s="57"/>
      <c r="G24" s="57"/>
    </row>
    <row r="25" spans="1:7" ht="12.75" customHeight="1">
      <c r="A25" s="59"/>
      <c r="B25" s="59"/>
      <c r="C25" s="59"/>
      <c r="D25" s="57" t="s">
        <v>86</v>
      </c>
      <c r="E25" s="61" t="s">
        <v>87</v>
      </c>
      <c r="F25" s="61" t="s">
        <v>111</v>
      </c>
      <c r="G25" s="61" t="s">
        <v>112</v>
      </c>
    </row>
    <row r="26" spans="1:7" ht="12.75">
      <c r="A26" s="59"/>
      <c r="B26" s="59"/>
      <c r="C26" s="59"/>
      <c r="D26" s="60"/>
      <c r="E26" s="73"/>
      <c r="F26" s="73"/>
      <c r="G26" s="73"/>
    </row>
    <row r="27" spans="1:7" ht="12.75">
      <c r="A27" s="30" t="s">
        <v>1</v>
      </c>
      <c r="B27" s="7" t="s">
        <v>137</v>
      </c>
      <c r="C27" s="7" t="s">
        <v>137</v>
      </c>
      <c r="D27" s="18">
        <f>'Tables 28-32'!C32*365</f>
        <v>638.3000000000001</v>
      </c>
      <c r="E27" s="18">
        <f>'Tables 28-32'!D32*365</f>
        <v>2182.8999999999996</v>
      </c>
      <c r="F27" s="18">
        <f>'Tables 28-32'!E32*365</f>
        <v>49</v>
      </c>
      <c r="G27" s="18">
        <f>'Tables 28-32'!F32*365</f>
        <v>1761.1</v>
      </c>
    </row>
    <row r="28" spans="1:7" ht="12.75">
      <c r="A28" s="31" t="s">
        <v>113</v>
      </c>
      <c r="B28" s="36" t="s">
        <v>114</v>
      </c>
      <c r="C28" s="36">
        <v>13</v>
      </c>
      <c r="D28" s="18">
        <f aca="true" t="shared" si="0" ref="D28:G43">D$27*D5/100</f>
        <v>0</v>
      </c>
      <c r="E28" s="18">
        <f t="shared" si="0"/>
        <v>0</v>
      </c>
      <c r="F28" s="18">
        <f t="shared" si="0"/>
        <v>0</v>
      </c>
      <c r="G28" s="18">
        <f t="shared" si="0"/>
        <v>0</v>
      </c>
    </row>
    <row r="29" spans="1:7" ht="12.75">
      <c r="A29" s="31" t="s">
        <v>115</v>
      </c>
      <c r="B29" s="36" t="s">
        <v>116</v>
      </c>
      <c r="C29" s="36">
        <v>20</v>
      </c>
      <c r="D29" s="18">
        <f t="shared" si="0"/>
        <v>1.2766000000000002</v>
      </c>
      <c r="E29" s="18">
        <f t="shared" si="0"/>
        <v>0</v>
      </c>
      <c r="F29" s="18">
        <f t="shared" si="0"/>
        <v>0.0245</v>
      </c>
      <c r="G29" s="18">
        <f t="shared" si="0"/>
        <v>0</v>
      </c>
    </row>
    <row r="30" spans="1:7" ht="12.75">
      <c r="A30" s="31" t="s">
        <v>117</v>
      </c>
      <c r="B30" s="36" t="s">
        <v>118</v>
      </c>
      <c r="C30" s="36">
        <v>41</v>
      </c>
      <c r="D30" s="18">
        <f t="shared" si="0"/>
        <v>0</v>
      </c>
      <c r="E30" s="18">
        <f t="shared" si="0"/>
        <v>0</v>
      </c>
      <c r="F30" s="18">
        <f t="shared" si="0"/>
        <v>0</v>
      </c>
      <c r="G30" s="18">
        <f t="shared" si="0"/>
        <v>0</v>
      </c>
    </row>
    <row r="31" spans="1:7" ht="12.75">
      <c r="A31" s="31" t="s">
        <v>119</v>
      </c>
      <c r="B31" s="36" t="s">
        <v>120</v>
      </c>
      <c r="C31" s="36">
        <v>79</v>
      </c>
      <c r="D31" s="18">
        <f t="shared" si="0"/>
        <v>0</v>
      </c>
      <c r="E31" s="18">
        <f t="shared" si="0"/>
        <v>0</v>
      </c>
      <c r="F31" s="18">
        <f t="shared" si="0"/>
        <v>0</v>
      </c>
      <c r="G31" s="18">
        <f t="shared" si="0"/>
        <v>0</v>
      </c>
    </row>
    <row r="32" spans="1:7" ht="12.75">
      <c r="A32" s="31" t="s">
        <v>121</v>
      </c>
      <c r="B32" s="36" t="s">
        <v>122</v>
      </c>
      <c r="C32" s="36">
        <v>81</v>
      </c>
      <c r="D32" s="18">
        <f t="shared" si="0"/>
        <v>0</v>
      </c>
      <c r="E32" s="18">
        <f t="shared" si="0"/>
        <v>0</v>
      </c>
      <c r="F32" s="18">
        <f t="shared" si="0"/>
        <v>0</v>
      </c>
      <c r="G32" s="18">
        <f t="shared" si="0"/>
        <v>0</v>
      </c>
    </row>
    <row r="33" spans="1:7" ht="12.75">
      <c r="A33" s="31" t="s">
        <v>123</v>
      </c>
      <c r="B33" s="36" t="s">
        <v>124</v>
      </c>
      <c r="C33" s="36">
        <v>88</v>
      </c>
      <c r="D33" s="18">
        <f t="shared" si="0"/>
        <v>0</v>
      </c>
      <c r="E33" s="18">
        <f t="shared" si="0"/>
        <v>0</v>
      </c>
      <c r="F33" s="18">
        <f t="shared" si="0"/>
        <v>0</v>
      </c>
      <c r="G33" s="18">
        <f t="shared" si="0"/>
        <v>0</v>
      </c>
    </row>
    <row r="34" spans="1:7" ht="12.75">
      <c r="A34" s="31" t="s">
        <v>125</v>
      </c>
      <c r="B34" s="36" t="s">
        <v>126</v>
      </c>
      <c r="C34" s="36">
        <v>110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</row>
    <row r="35" spans="1:7" ht="12.75">
      <c r="A35" s="31" t="s">
        <v>127</v>
      </c>
      <c r="B35" s="36" t="s">
        <v>128</v>
      </c>
      <c r="C35" s="36">
        <v>124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</row>
    <row r="36" spans="1:7" ht="12.75">
      <c r="A36" s="31" t="s">
        <v>129</v>
      </c>
      <c r="B36" s="36" t="s">
        <v>130</v>
      </c>
      <c r="C36" s="36">
        <v>134</v>
      </c>
      <c r="D36" s="18">
        <f t="shared" si="0"/>
        <v>6.383000000000001</v>
      </c>
      <c r="E36" s="18">
        <f t="shared" si="0"/>
        <v>0</v>
      </c>
      <c r="F36" s="18">
        <f t="shared" si="0"/>
        <v>0.588</v>
      </c>
      <c r="G36" s="18">
        <f t="shared" si="0"/>
        <v>0</v>
      </c>
    </row>
    <row r="37" spans="1:7" ht="12.75">
      <c r="A37" s="31" t="s">
        <v>131</v>
      </c>
      <c r="B37" s="36" t="s">
        <v>132</v>
      </c>
      <c r="C37" s="36">
        <v>145</v>
      </c>
      <c r="D37" s="18">
        <f t="shared" si="0"/>
        <v>0</v>
      </c>
      <c r="E37" s="18">
        <f t="shared" si="0"/>
        <v>0</v>
      </c>
      <c r="F37" s="18">
        <f t="shared" si="0"/>
        <v>0</v>
      </c>
      <c r="G37" s="18">
        <f t="shared" si="0"/>
        <v>0</v>
      </c>
    </row>
    <row r="38" spans="1:7" ht="12.75">
      <c r="A38" s="31" t="s">
        <v>133</v>
      </c>
      <c r="B38" s="36" t="s">
        <v>134</v>
      </c>
      <c r="C38" s="36">
        <v>151</v>
      </c>
      <c r="D38" s="18">
        <f t="shared" si="0"/>
        <v>0</v>
      </c>
      <c r="E38" s="18">
        <f t="shared" si="0"/>
        <v>0</v>
      </c>
      <c r="F38" s="18">
        <f t="shared" si="0"/>
        <v>0</v>
      </c>
      <c r="G38" s="18">
        <f t="shared" si="0"/>
        <v>0</v>
      </c>
    </row>
    <row r="39" spans="1:7" ht="12.75">
      <c r="A39" s="31" t="s">
        <v>135</v>
      </c>
      <c r="B39" s="7" t="s">
        <v>136</v>
      </c>
      <c r="C39" s="36" t="s">
        <v>137</v>
      </c>
      <c r="D39" s="18">
        <f t="shared" si="0"/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</row>
    <row r="40" spans="1:7" ht="12.75">
      <c r="A40" s="31" t="s">
        <v>138</v>
      </c>
      <c r="B40" s="7" t="s">
        <v>139</v>
      </c>
      <c r="C40" s="36" t="s">
        <v>137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</row>
    <row r="41" spans="1:7" ht="12.75">
      <c r="A41" s="31" t="s">
        <v>140</v>
      </c>
      <c r="B41" s="7" t="s">
        <v>141</v>
      </c>
      <c r="C41" s="36" t="s">
        <v>137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0</v>
      </c>
    </row>
    <row r="42" spans="1:7" ht="12.75">
      <c r="A42" s="31" t="s">
        <v>142</v>
      </c>
      <c r="B42" s="7" t="s">
        <v>143</v>
      </c>
      <c r="C42" s="36" t="s">
        <v>137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</row>
    <row r="43" spans="1:7" ht="12.75">
      <c r="A43" s="31" t="s">
        <v>144</v>
      </c>
      <c r="B43" s="36" t="s">
        <v>145</v>
      </c>
      <c r="C43" s="36" t="s">
        <v>137</v>
      </c>
      <c r="D43" s="18">
        <f t="shared" si="0"/>
        <v>0</v>
      </c>
      <c r="E43" s="18">
        <f t="shared" si="0"/>
        <v>0</v>
      </c>
      <c r="F43" s="18">
        <f t="shared" si="0"/>
        <v>0.0147</v>
      </c>
      <c r="G43" s="18">
        <f t="shared" si="0"/>
        <v>0</v>
      </c>
    </row>
    <row r="44" spans="1:7" ht="12.75">
      <c r="A44" s="38"/>
      <c r="B44" s="39"/>
      <c r="C44" s="39"/>
      <c r="D44" s="35"/>
      <c r="E44" s="35"/>
      <c r="F44" s="35"/>
      <c r="G44" s="35"/>
    </row>
    <row r="45" spans="1:7" ht="12.75">
      <c r="A45" s="55" t="s">
        <v>266</v>
      </c>
      <c r="B45" s="55"/>
      <c r="C45" s="55"/>
      <c r="D45" s="55"/>
      <c r="E45" s="55"/>
      <c r="F45" s="55"/>
      <c r="G45" s="55"/>
    </row>
    <row r="46" spans="1:7" ht="12.75">
      <c r="A46" s="58" t="s">
        <v>148</v>
      </c>
      <c r="B46" s="58"/>
      <c r="C46" s="58"/>
      <c r="D46" s="58"/>
      <c r="E46" s="58"/>
      <c r="F46" s="58"/>
      <c r="G46" s="58"/>
    </row>
    <row r="47" spans="1:7" ht="12.75">
      <c r="A47" s="57" t="s">
        <v>107</v>
      </c>
      <c r="B47" s="57" t="s">
        <v>108</v>
      </c>
      <c r="C47" s="57" t="s">
        <v>109</v>
      </c>
      <c r="D47" s="57" t="s">
        <v>147</v>
      </c>
      <c r="E47" s="57"/>
      <c r="F47" s="57"/>
      <c r="G47" s="57"/>
    </row>
    <row r="48" spans="1:7" ht="12.75" customHeight="1">
      <c r="A48" s="59"/>
      <c r="B48" s="59"/>
      <c r="C48" s="59"/>
      <c r="D48" s="71" t="s">
        <v>86</v>
      </c>
      <c r="E48" s="69" t="s">
        <v>97</v>
      </c>
      <c r="F48" s="69" t="s">
        <v>98</v>
      </c>
      <c r="G48" s="69" t="s">
        <v>99</v>
      </c>
    </row>
    <row r="49" spans="1:7" ht="12.75">
      <c r="A49" s="59"/>
      <c r="B49" s="59"/>
      <c r="C49" s="59"/>
      <c r="D49" s="72"/>
      <c r="E49" s="70"/>
      <c r="F49" s="70"/>
      <c r="G49" s="70"/>
    </row>
    <row r="50" spans="1:7" ht="12.75">
      <c r="A50" s="30" t="s">
        <v>1</v>
      </c>
      <c r="B50" s="7" t="s">
        <v>137</v>
      </c>
      <c r="C50" s="7" t="s">
        <v>137</v>
      </c>
      <c r="D50" s="18">
        <f>'Tables 28-32'!C48*365</f>
        <v>2998.6</v>
      </c>
      <c r="E50" s="18">
        <f>'Tables 28-32'!D48*365</f>
        <v>1163.7999999999997</v>
      </c>
      <c r="F50" s="18">
        <f>'Tables 28-32'!E48*365</f>
        <v>643.5</v>
      </c>
      <c r="G50" s="18">
        <f>'Tables 28-32'!F48*365</f>
        <v>1274.7</v>
      </c>
    </row>
    <row r="51" spans="1:7" ht="12.75">
      <c r="A51" s="31" t="s">
        <v>113</v>
      </c>
      <c r="B51" s="36" t="s">
        <v>114</v>
      </c>
      <c r="C51" s="36">
        <v>13</v>
      </c>
      <c r="D51" s="18">
        <f aca="true" t="shared" si="1" ref="D51:D66">D$50*D5/100</f>
        <v>0</v>
      </c>
      <c r="E51" s="18">
        <f aca="true" t="shared" si="2" ref="E51:E66">E$50*H5/100</f>
        <v>0</v>
      </c>
      <c r="F51" s="18">
        <f aca="true" t="shared" si="3" ref="F51:F66">F$50*I5/100</f>
        <v>0</v>
      </c>
      <c r="G51" s="18">
        <f aca="true" t="shared" si="4" ref="G51:G66">G$50*J5/100</f>
        <v>0</v>
      </c>
    </row>
    <row r="52" spans="1:7" ht="12.75">
      <c r="A52" s="31" t="s">
        <v>115</v>
      </c>
      <c r="B52" s="36" t="s">
        <v>116</v>
      </c>
      <c r="C52" s="36">
        <v>20</v>
      </c>
      <c r="D52" s="18">
        <f t="shared" si="1"/>
        <v>5.9972</v>
      </c>
      <c r="E52" s="18">
        <f t="shared" si="2"/>
        <v>0</v>
      </c>
      <c r="F52" s="18">
        <f t="shared" si="3"/>
        <v>0</v>
      </c>
      <c r="G52" s="18">
        <f t="shared" si="4"/>
        <v>0</v>
      </c>
    </row>
    <row r="53" spans="1:7" ht="12.75">
      <c r="A53" s="31" t="s">
        <v>117</v>
      </c>
      <c r="B53" s="36" t="s">
        <v>118</v>
      </c>
      <c r="C53" s="36">
        <v>41</v>
      </c>
      <c r="D53" s="18">
        <f t="shared" si="1"/>
        <v>0</v>
      </c>
      <c r="E53" s="18">
        <f t="shared" si="2"/>
        <v>0</v>
      </c>
      <c r="F53" s="18">
        <f t="shared" si="3"/>
        <v>0</v>
      </c>
      <c r="G53" s="18">
        <f t="shared" si="4"/>
        <v>0</v>
      </c>
    </row>
    <row r="54" spans="1:7" ht="12.75">
      <c r="A54" s="31" t="s">
        <v>119</v>
      </c>
      <c r="B54" s="36" t="s">
        <v>120</v>
      </c>
      <c r="C54" s="36">
        <v>79</v>
      </c>
      <c r="D54" s="18">
        <f t="shared" si="1"/>
        <v>0</v>
      </c>
      <c r="E54" s="18">
        <f t="shared" si="2"/>
        <v>0</v>
      </c>
      <c r="F54" s="18">
        <f t="shared" si="3"/>
        <v>0</v>
      </c>
      <c r="G54" s="18">
        <f t="shared" si="4"/>
        <v>0</v>
      </c>
    </row>
    <row r="55" spans="1:7" ht="12.75">
      <c r="A55" s="31" t="s">
        <v>121</v>
      </c>
      <c r="B55" s="36" t="s">
        <v>122</v>
      </c>
      <c r="C55" s="36">
        <v>81</v>
      </c>
      <c r="D55" s="18">
        <f t="shared" si="1"/>
        <v>0</v>
      </c>
      <c r="E55" s="18">
        <f t="shared" si="2"/>
        <v>0</v>
      </c>
      <c r="F55" s="18">
        <f t="shared" si="3"/>
        <v>0</v>
      </c>
      <c r="G55" s="18">
        <f t="shared" si="4"/>
        <v>0</v>
      </c>
    </row>
    <row r="56" spans="1:7" ht="12.75">
      <c r="A56" s="31" t="s">
        <v>123</v>
      </c>
      <c r="B56" s="36" t="s">
        <v>124</v>
      </c>
      <c r="C56" s="36">
        <v>88</v>
      </c>
      <c r="D56" s="18">
        <f t="shared" si="1"/>
        <v>0</v>
      </c>
      <c r="E56" s="18">
        <f t="shared" si="2"/>
        <v>1163.7999999999997</v>
      </c>
      <c r="F56" s="18">
        <f t="shared" si="3"/>
        <v>128.7</v>
      </c>
      <c r="G56" s="18">
        <f t="shared" si="4"/>
        <v>0</v>
      </c>
    </row>
    <row r="57" spans="1:7" ht="12.75">
      <c r="A57" s="31" t="s">
        <v>125</v>
      </c>
      <c r="B57" s="36" t="s">
        <v>126</v>
      </c>
      <c r="C57" s="36">
        <v>110</v>
      </c>
      <c r="D57" s="18">
        <f t="shared" si="1"/>
        <v>0</v>
      </c>
      <c r="E57" s="18">
        <f t="shared" si="2"/>
        <v>0</v>
      </c>
      <c r="F57" s="18">
        <f t="shared" si="3"/>
        <v>0</v>
      </c>
      <c r="G57" s="18">
        <f t="shared" si="4"/>
        <v>0</v>
      </c>
    </row>
    <row r="58" spans="1:7" ht="12.75">
      <c r="A58" s="31" t="s">
        <v>127</v>
      </c>
      <c r="B58" s="36" t="s">
        <v>128</v>
      </c>
      <c r="C58" s="36">
        <v>124</v>
      </c>
      <c r="D58" s="18">
        <f t="shared" si="1"/>
        <v>0</v>
      </c>
      <c r="E58" s="18">
        <f t="shared" si="2"/>
        <v>0</v>
      </c>
      <c r="F58" s="18">
        <f t="shared" si="3"/>
        <v>0</v>
      </c>
      <c r="G58" s="18">
        <f t="shared" si="4"/>
        <v>0</v>
      </c>
    </row>
    <row r="59" spans="1:7" ht="12.75">
      <c r="A59" s="31" t="s">
        <v>129</v>
      </c>
      <c r="B59" s="36" t="s">
        <v>130</v>
      </c>
      <c r="C59" s="36">
        <v>134</v>
      </c>
      <c r="D59" s="18">
        <f t="shared" si="1"/>
        <v>29.986</v>
      </c>
      <c r="E59" s="18">
        <f t="shared" si="2"/>
        <v>0</v>
      </c>
      <c r="F59" s="18">
        <f t="shared" si="3"/>
        <v>0</v>
      </c>
      <c r="G59" s="18">
        <f t="shared" si="4"/>
        <v>0</v>
      </c>
    </row>
    <row r="60" spans="1:7" ht="12.75">
      <c r="A60" s="31" t="s">
        <v>131</v>
      </c>
      <c r="B60" s="36" t="s">
        <v>132</v>
      </c>
      <c r="C60" s="36">
        <v>145</v>
      </c>
      <c r="D60" s="18">
        <f t="shared" si="1"/>
        <v>0</v>
      </c>
      <c r="E60" s="18">
        <f t="shared" si="2"/>
        <v>0</v>
      </c>
      <c r="F60" s="18">
        <f t="shared" si="3"/>
        <v>0</v>
      </c>
      <c r="G60" s="18">
        <f t="shared" si="4"/>
        <v>0</v>
      </c>
    </row>
    <row r="61" spans="1:7" ht="12.75">
      <c r="A61" s="31" t="s">
        <v>133</v>
      </c>
      <c r="B61" s="36" t="s">
        <v>134</v>
      </c>
      <c r="C61" s="36">
        <v>151</v>
      </c>
      <c r="D61" s="18">
        <f t="shared" si="1"/>
        <v>0</v>
      </c>
      <c r="E61" s="18">
        <f t="shared" si="2"/>
        <v>0</v>
      </c>
      <c r="F61" s="18">
        <f t="shared" si="3"/>
        <v>0</v>
      </c>
      <c r="G61" s="18">
        <f t="shared" si="4"/>
        <v>0</v>
      </c>
    </row>
    <row r="62" spans="1:7" ht="12.75">
      <c r="A62" s="31" t="s">
        <v>135</v>
      </c>
      <c r="B62" s="7" t="s">
        <v>136</v>
      </c>
      <c r="C62" s="36" t="s">
        <v>137</v>
      </c>
      <c r="D62" s="18">
        <f t="shared" si="1"/>
        <v>0</v>
      </c>
      <c r="E62" s="18">
        <f t="shared" si="2"/>
        <v>0</v>
      </c>
      <c r="F62" s="18">
        <f t="shared" si="3"/>
        <v>0</v>
      </c>
      <c r="G62" s="18">
        <f t="shared" si="4"/>
        <v>0</v>
      </c>
    </row>
    <row r="63" spans="1:7" ht="12.75">
      <c r="A63" s="31" t="s">
        <v>138</v>
      </c>
      <c r="B63" s="7" t="s">
        <v>139</v>
      </c>
      <c r="C63" s="36" t="s">
        <v>137</v>
      </c>
      <c r="D63" s="18">
        <f t="shared" si="1"/>
        <v>0</v>
      </c>
      <c r="E63" s="18">
        <f t="shared" si="2"/>
        <v>0</v>
      </c>
      <c r="F63" s="18">
        <f t="shared" si="3"/>
        <v>0</v>
      </c>
      <c r="G63" s="18">
        <f t="shared" si="4"/>
        <v>0</v>
      </c>
    </row>
    <row r="64" spans="1:7" ht="12.75">
      <c r="A64" s="31" t="s">
        <v>140</v>
      </c>
      <c r="B64" s="7" t="s">
        <v>141</v>
      </c>
      <c r="C64" s="36" t="s">
        <v>137</v>
      </c>
      <c r="D64" s="18">
        <f t="shared" si="1"/>
        <v>0</v>
      </c>
      <c r="E64" s="18">
        <f t="shared" si="2"/>
        <v>0</v>
      </c>
      <c r="F64" s="18">
        <f t="shared" si="3"/>
        <v>0</v>
      </c>
      <c r="G64" s="18">
        <f t="shared" si="4"/>
        <v>0</v>
      </c>
    </row>
    <row r="65" spans="1:7" ht="12.75">
      <c r="A65" s="31" t="s">
        <v>142</v>
      </c>
      <c r="B65" s="7" t="s">
        <v>143</v>
      </c>
      <c r="C65" s="36" t="s">
        <v>137</v>
      </c>
      <c r="D65" s="18">
        <f t="shared" si="1"/>
        <v>0</v>
      </c>
      <c r="E65" s="18">
        <f t="shared" si="2"/>
        <v>0</v>
      </c>
      <c r="F65" s="18">
        <f t="shared" si="3"/>
        <v>0</v>
      </c>
      <c r="G65" s="18">
        <f t="shared" si="4"/>
        <v>0</v>
      </c>
    </row>
    <row r="66" spans="1:7" ht="12.75">
      <c r="A66" s="31" t="s">
        <v>144</v>
      </c>
      <c r="B66" s="36" t="s">
        <v>145</v>
      </c>
      <c r="C66" s="36" t="s">
        <v>137</v>
      </c>
      <c r="D66" s="18">
        <f t="shared" si="1"/>
        <v>0</v>
      </c>
      <c r="E66" s="18">
        <f t="shared" si="2"/>
        <v>0</v>
      </c>
      <c r="F66" s="18">
        <f t="shared" si="3"/>
        <v>0</v>
      </c>
      <c r="G66" s="18">
        <f t="shared" si="4"/>
        <v>0</v>
      </c>
    </row>
    <row r="68" spans="1:6" ht="12.75">
      <c r="A68" s="55" t="s">
        <v>267</v>
      </c>
      <c r="B68" s="55"/>
      <c r="C68" s="55"/>
      <c r="D68" s="55"/>
      <c r="E68" s="55"/>
      <c r="F68" s="55"/>
    </row>
    <row r="69" spans="1:6" ht="12.75">
      <c r="A69" s="58" t="s">
        <v>149</v>
      </c>
      <c r="B69" s="58"/>
      <c r="C69" s="58"/>
      <c r="D69" s="58"/>
      <c r="E69" s="58"/>
      <c r="F69" s="58"/>
    </row>
    <row r="70" spans="1:6" ht="12.75">
      <c r="A70" s="57" t="s">
        <v>107</v>
      </c>
      <c r="B70" s="57" t="s">
        <v>108</v>
      </c>
      <c r="C70" s="57" t="s">
        <v>109</v>
      </c>
      <c r="D70" s="61" t="s">
        <v>150</v>
      </c>
      <c r="E70" s="61" t="s">
        <v>151</v>
      </c>
      <c r="F70" s="61" t="s">
        <v>152</v>
      </c>
    </row>
    <row r="71" spans="1:6" ht="64.5" customHeight="1">
      <c r="A71" s="59"/>
      <c r="B71" s="59"/>
      <c r="C71" s="59"/>
      <c r="D71" s="57"/>
      <c r="E71" s="57"/>
      <c r="F71" s="57"/>
    </row>
    <row r="72" spans="1:6" ht="12.75">
      <c r="A72" s="31" t="s">
        <v>113</v>
      </c>
      <c r="B72" s="36" t="s">
        <v>114</v>
      </c>
      <c r="C72" s="36">
        <v>13</v>
      </c>
      <c r="D72" s="18">
        <f aca="true" t="shared" si="5" ref="D72:D87">SUM(D28:G28)</f>
        <v>0</v>
      </c>
      <c r="E72" s="18">
        <f aca="true" t="shared" si="6" ref="E72:E87">SUM(D51:G51)</f>
        <v>0</v>
      </c>
      <c r="F72" s="18">
        <f aca="true" t="shared" si="7" ref="F72:F87">D72-E72</f>
        <v>0</v>
      </c>
    </row>
    <row r="73" spans="1:6" ht="12.75">
      <c r="A73" s="31" t="s">
        <v>115</v>
      </c>
      <c r="B73" s="36" t="s">
        <v>116</v>
      </c>
      <c r="C73" s="36">
        <v>20</v>
      </c>
      <c r="D73" s="18">
        <f t="shared" si="5"/>
        <v>1.3011000000000001</v>
      </c>
      <c r="E73" s="18">
        <f t="shared" si="6"/>
        <v>5.9972</v>
      </c>
      <c r="F73" s="18">
        <f t="shared" si="7"/>
        <v>-4.6961</v>
      </c>
    </row>
    <row r="74" spans="1:6" ht="12.75">
      <c r="A74" s="31" t="s">
        <v>117</v>
      </c>
      <c r="B74" s="36" t="s">
        <v>118</v>
      </c>
      <c r="C74" s="36">
        <v>41</v>
      </c>
      <c r="D74" s="18">
        <f t="shared" si="5"/>
        <v>0</v>
      </c>
      <c r="E74" s="18">
        <f t="shared" si="6"/>
        <v>0</v>
      </c>
      <c r="F74" s="18">
        <f t="shared" si="7"/>
        <v>0</v>
      </c>
    </row>
    <row r="75" spans="1:6" ht="12.75">
      <c r="A75" s="31" t="s">
        <v>119</v>
      </c>
      <c r="B75" s="36" t="s">
        <v>120</v>
      </c>
      <c r="C75" s="36">
        <v>79</v>
      </c>
      <c r="D75" s="18">
        <f t="shared" si="5"/>
        <v>0</v>
      </c>
      <c r="E75" s="18">
        <f t="shared" si="6"/>
        <v>0</v>
      </c>
      <c r="F75" s="18">
        <f t="shared" si="7"/>
        <v>0</v>
      </c>
    </row>
    <row r="76" spans="1:6" ht="12.75">
      <c r="A76" s="31" t="s">
        <v>121</v>
      </c>
      <c r="B76" s="36" t="s">
        <v>122</v>
      </c>
      <c r="C76" s="36">
        <v>81</v>
      </c>
      <c r="D76" s="18">
        <f t="shared" si="5"/>
        <v>0</v>
      </c>
      <c r="E76" s="18">
        <f t="shared" si="6"/>
        <v>0</v>
      </c>
      <c r="F76" s="18">
        <f t="shared" si="7"/>
        <v>0</v>
      </c>
    </row>
    <row r="77" spans="1:6" ht="12.75">
      <c r="A77" s="31" t="s">
        <v>123</v>
      </c>
      <c r="B77" s="36" t="s">
        <v>124</v>
      </c>
      <c r="C77" s="36">
        <v>88</v>
      </c>
      <c r="D77" s="18">
        <f t="shared" si="5"/>
        <v>0</v>
      </c>
      <c r="E77" s="18">
        <f t="shared" si="6"/>
        <v>1292.4999999999998</v>
      </c>
      <c r="F77" s="18">
        <f t="shared" si="7"/>
        <v>-1292.4999999999998</v>
      </c>
    </row>
    <row r="78" spans="1:6" ht="12.75">
      <c r="A78" s="31" t="s">
        <v>125</v>
      </c>
      <c r="B78" s="36" t="s">
        <v>126</v>
      </c>
      <c r="C78" s="36">
        <v>110</v>
      </c>
      <c r="D78" s="18">
        <f t="shared" si="5"/>
        <v>0</v>
      </c>
      <c r="E78" s="18">
        <f t="shared" si="6"/>
        <v>0</v>
      </c>
      <c r="F78" s="18">
        <f t="shared" si="7"/>
        <v>0</v>
      </c>
    </row>
    <row r="79" spans="1:6" ht="12.75">
      <c r="A79" s="31" t="s">
        <v>127</v>
      </c>
      <c r="B79" s="36" t="s">
        <v>128</v>
      </c>
      <c r="C79" s="36">
        <v>124</v>
      </c>
      <c r="D79" s="18">
        <f t="shared" si="5"/>
        <v>0</v>
      </c>
      <c r="E79" s="18">
        <f t="shared" si="6"/>
        <v>0</v>
      </c>
      <c r="F79" s="18">
        <f t="shared" si="7"/>
        <v>0</v>
      </c>
    </row>
    <row r="80" spans="1:6" ht="12.75">
      <c r="A80" s="31" t="s">
        <v>129</v>
      </c>
      <c r="B80" s="36" t="s">
        <v>130</v>
      </c>
      <c r="C80" s="36">
        <v>134</v>
      </c>
      <c r="D80" s="18">
        <f t="shared" si="5"/>
        <v>6.971000000000001</v>
      </c>
      <c r="E80" s="18">
        <f t="shared" si="6"/>
        <v>29.986</v>
      </c>
      <c r="F80" s="18">
        <f t="shared" si="7"/>
        <v>-23.015</v>
      </c>
    </row>
    <row r="81" spans="1:6" ht="12.75">
      <c r="A81" s="31" t="s">
        <v>131</v>
      </c>
      <c r="B81" s="36" t="s">
        <v>132</v>
      </c>
      <c r="C81" s="36">
        <v>145</v>
      </c>
      <c r="D81" s="18">
        <f t="shared" si="5"/>
        <v>0</v>
      </c>
      <c r="E81" s="18">
        <f t="shared" si="6"/>
        <v>0</v>
      </c>
      <c r="F81" s="18">
        <f t="shared" si="7"/>
        <v>0</v>
      </c>
    </row>
    <row r="82" spans="1:6" ht="12.75">
      <c r="A82" s="31" t="s">
        <v>133</v>
      </c>
      <c r="B82" s="36" t="s">
        <v>134</v>
      </c>
      <c r="C82" s="36">
        <v>151</v>
      </c>
      <c r="D82" s="18">
        <f t="shared" si="5"/>
        <v>0</v>
      </c>
      <c r="E82" s="18">
        <f t="shared" si="6"/>
        <v>0</v>
      </c>
      <c r="F82" s="18">
        <f t="shared" si="7"/>
        <v>0</v>
      </c>
    </row>
    <row r="83" spans="1:6" ht="12.75">
      <c r="A83" s="31" t="s">
        <v>135</v>
      </c>
      <c r="B83" s="7" t="s">
        <v>136</v>
      </c>
      <c r="C83" s="36" t="s">
        <v>137</v>
      </c>
      <c r="D83" s="18">
        <f t="shared" si="5"/>
        <v>0</v>
      </c>
      <c r="E83" s="18">
        <f t="shared" si="6"/>
        <v>0</v>
      </c>
      <c r="F83" s="18">
        <f t="shared" si="7"/>
        <v>0</v>
      </c>
    </row>
    <row r="84" spans="1:6" ht="12.75">
      <c r="A84" s="31" t="s">
        <v>138</v>
      </c>
      <c r="B84" s="7" t="s">
        <v>139</v>
      </c>
      <c r="C84" s="36" t="s">
        <v>137</v>
      </c>
      <c r="D84" s="18">
        <f t="shared" si="5"/>
        <v>0</v>
      </c>
      <c r="E84" s="18">
        <f t="shared" si="6"/>
        <v>0</v>
      </c>
      <c r="F84" s="18">
        <f t="shared" si="7"/>
        <v>0</v>
      </c>
    </row>
    <row r="85" spans="1:6" ht="12.75">
      <c r="A85" s="31" t="s">
        <v>140</v>
      </c>
      <c r="B85" s="7" t="s">
        <v>141</v>
      </c>
      <c r="C85" s="36" t="s">
        <v>137</v>
      </c>
      <c r="D85" s="18">
        <f t="shared" si="5"/>
        <v>0</v>
      </c>
      <c r="E85" s="18">
        <f t="shared" si="6"/>
        <v>0</v>
      </c>
      <c r="F85" s="18">
        <f t="shared" si="7"/>
        <v>0</v>
      </c>
    </row>
    <row r="86" spans="1:6" ht="12.75">
      <c r="A86" s="31" t="s">
        <v>142</v>
      </c>
      <c r="B86" s="7" t="s">
        <v>143</v>
      </c>
      <c r="C86" s="36" t="s">
        <v>137</v>
      </c>
      <c r="D86" s="18">
        <f t="shared" si="5"/>
        <v>0</v>
      </c>
      <c r="E86" s="18">
        <f t="shared" si="6"/>
        <v>0</v>
      </c>
      <c r="F86" s="18">
        <f t="shared" si="7"/>
        <v>0</v>
      </c>
    </row>
    <row r="87" spans="1:6" ht="12.75">
      <c r="A87" s="31" t="s">
        <v>144</v>
      </c>
      <c r="B87" s="36" t="s">
        <v>145</v>
      </c>
      <c r="C87" s="36" t="s">
        <v>137</v>
      </c>
      <c r="D87" s="18">
        <f t="shared" si="5"/>
        <v>0.0147</v>
      </c>
      <c r="E87" s="18">
        <f t="shared" si="6"/>
        <v>0</v>
      </c>
      <c r="F87" s="18">
        <f t="shared" si="7"/>
        <v>0.0147</v>
      </c>
    </row>
    <row r="89" spans="1:4" ht="12.75">
      <c r="A89" s="55" t="s">
        <v>268</v>
      </c>
      <c r="B89" s="55"/>
      <c r="C89" s="55"/>
      <c r="D89" s="55"/>
    </row>
    <row r="90" spans="1:4" ht="12.75">
      <c r="A90" s="58" t="s">
        <v>154</v>
      </c>
      <c r="B90" s="58"/>
      <c r="C90" s="58"/>
      <c r="D90" s="58"/>
    </row>
    <row r="91" spans="1:4" ht="39">
      <c r="A91" s="3" t="s">
        <v>107</v>
      </c>
      <c r="B91" s="3" t="s">
        <v>108</v>
      </c>
      <c r="C91" s="3" t="s">
        <v>109</v>
      </c>
      <c r="D91" s="15" t="s">
        <v>153</v>
      </c>
    </row>
    <row r="92" spans="1:4" ht="12.75">
      <c r="A92" s="31" t="s">
        <v>113</v>
      </c>
      <c r="B92" s="36" t="s">
        <v>114</v>
      </c>
      <c r="C92" s="36">
        <v>13</v>
      </c>
      <c r="D92" s="40">
        <f>F72*453.6/365/24/3600</f>
        <v>0</v>
      </c>
    </row>
    <row r="93" spans="1:4" ht="12.75">
      <c r="A93" s="31" t="s">
        <v>115</v>
      </c>
      <c r="B93" s="36" t="s">
        <v>116</v>
      </c>
      <c r="C93" s="36">
        <v>20</v>
      </c>
      <c r="D93" s="40">
        <f aca="true" t="shared" si="8" ref="D93:D102">F73*453.6/365/24/3600</f>
        <v>-6.754664383561645E-05</v>
      </c>
    </row>
    <row r="94" spans="1:4" ht="12.75">
      <c r="A94" s="31" t="s">
        <v>117</v>
      </c>
      <c r="B94" s="36" t="s">
        <v>118</v>
      </c>
      <c r="C94" s="36">
        <v>41</v>
      </c>
      <c r="D94" s="40">
        <f t="shared" si="8"/>
        <v>0</v>
      </c>
    </row>
    <row r="95" spans="1:4" ht="12.75">
      <c r="A95" s="31" t="s">
        <v>119</v>
      </c>
      <c r="B95" s="36" t="s">
        <v>120</v>
      </c>
      <c r="C95" s="36">
        <v>79</v>
      </c>
      <c r="D95" s="40">
        <f t="shared" si="8"/>
        <v>0</v>
      </c>
    </row>
    <row r="96" spans="1:4" ht="12.75">
      <c r="A96" s="31" t="s">
        <v>121</v>
      </c>
      <c r="B96" s="36" t="s">
        <v>122</v>
      </c>
      <c r="C96" s="36">
        <v>81</v>
      </c>
      <c r="D96" s="40">
        <f t="shared" si="8"/>
        <v>0</v>
      </c>
    </row>
    <row r="97" spans="1:4" ht="12.75">
      <c r="A97" s="31" t="s">
        <v>123</v>
      </c>
      <c r="B97" s="36" t="s">
        <v>124</v>
      </c>
      <c r="C97" s="36">
        <v>88</v>
      </c>
      <c r="D97" s="40">
        <f t="shared" si="8"/>
        <v>-0.01859075342465753</v>
      </c>
    </row>
    <row r="98" spans="1:4" ht="12.75">
      <c r="A98" s="31" t="s">
        <v>125</v>
      </c>
      <c r="B98" s="36" t="s">
        <v>126</v>
      </c>
      <c r="C98" s="36">
        <v>110</v>
      </c>
      <c r="D98" s="40">
        <f t="shared" si="8"/>
        <v>0</v>
      </c>
    </row>
    <row r="99" spans="1:4" ht="12.75">
      <c r="A99" s="31" t="s">
        <v>127</v>
      </c>
      <c r="B99" s="36" t="s">
        <v>128</v>
      </c>
      <c r="C99" s="36">
        <v>124</v>
      </c>
      <c r="D99" s="40">
        <f t="shared" si="8"/>
        <v>0</v>
      </c>
    </row>
    <row r="100" spans="1:4" ht="12.75">
      <c r="A100" s="31" t="s">
        <v>129</v>
      </c>
      <c r="B100" s="36" t="s">
        <v>130</v>
      </c>
      <c r="C100" s="36">
        <v>134</v>
      </c>
      <c r="D100" s="40">
        <f t="shared" si="8"/>
        <v>-0.00033103767123287674</v>
      </c>
    </row>
    <row r="101" spans="1:4" ht="12.75">
      <c r="A101" s="31" t="s">
        <v>131</v>
      </c>
      <c r="B101" s="36" t="s">
        <v>132</v>
      </c>
      <c r="C101" s="36">
        <v>145</v>
      </c>
      <c r="D101" s="40">
        <f t="shared" si="8"/>
        <v>0</v>
      </c>
    </row>
    <row r="102" spans="1:4" ht="12.75">
      <c r="A102" s="31" t="s">
        <v>133</v>
      </c>
      <c r="B102" s="36" t="s">
        <v>134</v>
      </c>
      <c r="C102" s="36">
        <v>151</v>
      </c>
      <c r="D102" s="40">
        <f t="shared" si="8"/>
        <v>0</v>
      </c>
    </row>
  </sheetData>
  <sheetProtection/>
  <mergeCells count="36">
    <mergeCell ref="A89:D89"/>
    <mergeCell ref="A90:D90"/>
    <mergeCell ref="A1:J1"/>
    <mergeCell ref="A22:G22"/>
    <mergeCell ref="A45:G45"/>
    <mergeCell ref="A68:F68"/>
    <mergeCell ref="A46:G46"/>
    <mergeCell ref="D24:G24"/>
    <mergeCell ref="A24:A26"/>
    <mergeCell ref="B24:B26"/>
    <mergeCell ref="A2:J2"/>
    <mergeCell ref="D25:D26"/>
    <mergeCell ref="E25:E26"/>
    <mergeCell ref="F25:F26"/>
    <mergeCell ref="G25:G26"/>
    <mergeCell ref="D3:J3"/>
    <mergeCell ref="A3:A4"/>
    <mergeCell ref="B3:B4"/>
    <mergeCell ref="C3:C4"/>
    <mergeCell ref="A23:G23"/>
    <mergeCell ref="G48:G49"/>
    <mergeCell ref="D47:G47"/>
    <mergeCell ref="A47:A49"/>
    <mergeCell ref="B47:B49"/>
    <mergeCell ref="C47:C49"/>
    <mergeCell ref="D48:D49"/>
    <mergeCell ref="C24:C26"/>
    <mergeCell ref="E70:E71"/>
    <mergeCell ref="F70:F71"/>
    <mergeCell ref="E48:E49"/>
    <mergeCell ref="F48:F49"/>
    <mergeCell ref="A69:F69"/>
    <mergeCell ref="A70:A71"/>
    <mergeCell ref="B70:B71"/>
    <mergeCell ref="C70:C71"/>
    <mergeCell ref="D70:D71"/>
  </mergeCells>
  <printOptions horizontalCentered="1"/>
  <pageMargins left="0.75" right="0.75" top="1" bottom="1" header="0.5" footer="0.5"/>
  <pageSetup fitToHeight="99" horizontalDpi="600" verticalDpi="600" orientation="landscape" r:id="rId1"/>
  <headerFooter alignWithMargins="0">
    <oddFooter>&amp;CC.1-&amp;P&amp;RApril 2005 Addendum</oddFooter>
  </headerFooter>
  <rowBreaks count="4" manualBreakCount="4">
    <brk id="21" max="255" man="1"/>
    <brk id="44" max="255" man="1"/>
    <brk id="67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7.57421875" style="0" bestFit="1" customWidth="1"/>
  </cols>
  <sheetData>
    <row r="1" spans="1:6" ht="12.75">
      <c r="A1" s="55" t="s">
        <v>276</v>
      </c>
      <c r="B1" s="55"/>
      <c r="C1" s="55"/>
      <c r="D1" s="55"/>
      <c r="E1" s="55"/>
      <c r="F1" s="55"/>
    </row>
    <row r="2" spans="1:6" ht="12.75">
      <c r="A2" s="58" t="s">
        <v>322</v>
      </c>
      <c r="B2" s="58"/>
      <c r="C2" s="58"/>
      <c r="D2" s="58"/>
      <c r="E2" s="58"/>
      <c r="F2" s="58"/>
    </row>
    <row r="3" spans="1:6" ht="26.25">
      <c r="A3" s="3" t="s">
        <v>48</v>
      </c>
      <c r="B3" s="15" t="s">
        <v>80</v>
      </c>
      <c r="C3" s="15" t="s">
        <v>81</v>
      </c>
      <c r="D3" s="15" t="s">
        <v>82</v>
      </c>
      <c r="E3" s="15" t="s">
        <v>83</v>
      </c>
      <c r="F3" s="15" t="s">
        <v>84</v>
      </c>
    </row>
    <row r="4" spans="1:6" ht="12.75">
      <c r="A4" s="6" t="s">
        <v>76</v>
      </c>
      <c r="B4" s="18">
        <f>HLOOKUP(B$17,$B$23:$H$36,2,FALSE)</f>
        <v>18.41</v>
      </c>
      <c r="C4" s="18">
        <f>HLOOKUP(C$17,$B$42:$H$55,2,FALSE)</f>
        <v>6.09</v>
      </c>
      <c r="D4" s="18">
        <f>HLOOKUP(D$17,$B$61:$H$74,2,FALSE)</f>
        <v>39.099999999999994</v>
      </c>
      <c r="E4" s="18">
        <f>HLOOKUP(E$17,$B$80:$H$93,2,FALSE)</f>
        <v>5.720000000000001</v>
      </c>
      <c r="F4" s="18">
        <f>HLOOKUP(F$17,$B$99:$H$112,2,FALSE)</f>
        <v>2.58</v>
      </c>
    </row>
    <row r="5" spans="1:6" ht="12.75">
      <c r="A5" s="6" t="s">
        <v>199</v>
      </c>
      <c r="B5" s="41">
        <v>0</v>
      </c>
      <c r="C5" s="41">
        <v>0.05</v>
      </c>
      <c r="D5" s="41">
        <v>0.05</v>
      </c>
      <c r="E5" s="41">
        <v>0.05</v>
      </c>
      <c r="F5" s="41">
        <v>0.05</v>
      </c>
    </row>
    <row r="6" spans="1:6" ht="12.75">
      <c r="A6" s="6" t="s">
        <v>200</v>
      </c>
      <c r="B6" s="18">
        <f>-(B5*B4)</f>
        <v>0</v>
      </c>
      <c r="C6" s="18">
        <f>-(C5*C4)</f>
        <v>-0.3045</v>
      </c>
      <c r="D6" s="18">
        <f>-(D5*D4)</f>
        <v>-1.9549999999999998</v>
      </c>
      <c r="E6" s="18">
        <f>-(E5*E4)</f>
        <v>-0.28600000000000003</v>
      </c>
      <c r="F6" s="18">
        <f>-(F5*F4)</f>
        <v>-0.129</v>
      </c>
    </row>
    <row r="7" spans="1:6" ht="12.75">
      <c r="A7" s="19" t="s">
        <v>201</v>
      </c>
      <c r="B7" s="20">
        <f>B4+B6</f>
        <v>18.41</v>
      </c>
      <c r="C7" s="20">
        <f>C4+C6</f>
        <v>5.7855</v>
      </c>
      <c r="D7" s="20">
        <f>D4+D6</f>
        <v>37.144999999999996</v>
      </c>
      <c r="E7" s="20">
        <f>E4+E6</f>
        <v>5.434000000000001</v>
      </c>
      <c r="F7" s="20">
        <f>F4+F6</f>
        <v>2.451</v>
      </c>
    </row>
    <row r="8" spans="1:6" ht="12.75">
      <c r="A8" s="6" t="s">
        <v>77</v>
      </c>
      <c r="B8" s="18" t="str">
        <f>HLOOKUP(B$17,$B$23:$H$36,6,FALSE)</f>
        <v>--</v>
      </c>
      <c r="C8" s="18" t="str">
        <f>HLOOKUP(C$17,$B$42:$H$55,6,FALSE)</f>
        <v>--</v>
      </c>
      <c r="D8" s="18" t="str">
        <f>HLOOKUP(D$17,$B$61:$H$74,6,FALSE)</f>
        <v>--</v>
      </c>
      <c r="E8" s="18" t="str">
        <f>HLOOKUP(E$17,$B$80:$H$93,6,FALSE)</f>
        <v>--</v>
      </c>
      <c r="F8" s="18">
        <f>HLOOKUP(F$17,$B$99:$H$112,6,FALSE)</f>
        <v>0</v>
      </c>
    </row>
    <row r="9" spans="1:6" ht="12.75">
      <c r="A9" s="6" t="s">
        <v>199</v>
      </c>
      <c r="B9" s="18" t="s">
        <v>79</v>
      </c>
      <c r="C9" s="18" t="s">
        <v>79</v>
      </c>
      <c r="D9" s="18" t="s">
        <v>79</v>
      </c>
      <c r="E9" s="18" t="s">
        <v>79</v>
      </c>
      <c r="F9" s="41">
        <v>0.16</v>
      </c>
    </row>
    <row r="10" spans="1:6" ht="12.75">
      <c r="A10" s="6" t="s">
        <v>200</v>
      </c>
      <c r="B10" s="18" t="s">
        <v>79</v>
      </c>
      <c r="C10" s="18" t="s">
        <v>79</v>
      </c>
      <c r="D10" s="18" t="s">
        <v>79</v>
      </c>
      <c r="E10" s="18" t="s">
        <v>79</v>
      </c>
      <c r="F10" s="18">
        <f>-(F9*F8)</f>
        <v>0</v>
      </c>
    </row>
    <row r="11" spans="1:6" ht="12.75">
      <c r="A11" s="19" t="s">
        <v>201</v>
      </c>
      <c r="B11" s="20" t="s">
        <v>79</v>
      </c>
      <c r="C11" s="20" t="s">
        <v>79</v>
      </c>
      <c r="D11" s="20" t="s">
        <v>79</v>
      </c>
      <c r="E11" s="20" t="s">
        <v>79</v>
      </c>
      <c r="F11" s="20">
        <f>F8+F10</f>
        <v>0</v>
      </c>
    </row>
    <row r="12" spans="1:6" ht="12.75">
      <c r="A12" s="6" t="s">
        <v>78</v>
      </c>
      <c r="B12" s="18">
        <f>HLOOKUP(B$17,$B$23:$H$36,10,FALSE)</f>
        <v>54.971250000000005</v>
      </c>
      <c r="C12" s="18">
        <f>HLOOKUP(C$17,$B$42:$H$55,10,FALSE)</f>
        <v>5.91315</v>
      </c>
      <c r="D12" s="18">
        <f>HLOOKUP(D$17,$B$61:$H$74,10,FALSE)</f>
        <v>5.4403500000000005</v>
      </c>
      <c r="E12" s="18">
        <f>HLOOKUP(E$17,$B$80:$H$93,10,FALSE)</f>
        <v>0.03415</v>
      </c>
      <c r="F12" s="18">
        <f>HLOOKUP(F$17,$B$99:$H$112,10,FALSE)</f>
        <v>6.022105400294448</v>
      </c>
    </row>
    <row r="13" spans="1:6" ht="12.75">
      <c r="A13" s="6" t="s">
        <v>199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</row>
    <row r="14" spans="1:6" ht="12.75">
      <c r="A14" s="6" t="s">
        <v>200</v>
      </c>
      <c r="B14" s="18">
        <f>-(B13*B12)</f>
        <v>0</v>
      </c>
      <c r="C14" s="18">
        <f>-(C13*C12)</f>
        <v>0</v>
      </c>
      <c r="D14" s="18">
        <f>-(D13*D12)</f>
        <v>0</v>
      </c>
      <c r="E14" s="18">
        <f>-(E13*E12)</f>
        <v>0</v>
      </c>
      <c r="F14" s="18">
        <f>-(F13*F12)</f>
        <v>0</v>
      </c>
    </row>
    <row r="15" spans="1:6" ht="12.75">
      <c r="A15" s="19" t="s">
        <v>201</v>
      </c>
      <c r="B15" s="20">
        <f>B12+B14</f>
        <v>54.971250000000005</v>
      </c>
      <c r="C15" s="20">
        <f>C12+C14</f>
        <v>5.91315</v>
      </c>
      <c r="D15" s="20">
        <f>D12+D14</f>
        <v>5.4403500000000005</v>
      </c>
      <c r="E15" s="20">
        <f>E12+E14</f>
        <v>0.03415</v>
      </c>
      <c r="F15" s="20">
        <f>F12+F14</f>
        <v>6.022105400294448</v>
      </c>
    </row>
    <row r="16" spans="1:6" ht="12.75">
      <c r="A16" s="19" t="s">
        <v>21</v>
      </c>
      <c r="B16" s="20">
        <f>B7+B15</f>
        <v>73.38125000000001</v>
      </c>
      <c r="C16" s="20">
        <f>C7+C15</f>
        <v>11.69865</v>
      </c>
      <c r="D16" s="20">
        <f>D7+D15</f>
        <v>42.58535</v>
      </c>
      <c r="E16" s="20">
        <f>E7+E15</f>
        <v>5.468150000000001</v>
      </c>
      <c r="F16" s="20">
        <f>F7+F15+F11</f>
        <v>8.473105400294449</v>
      </c>
    </row>
    <row r="17" spans="1:6" ht="12.75" hidden="1">
      <c r="A17" s="38"/>
      <c r="B17" s="54">
        <f>MAX(B36:H36)</f>
        <v>73.38125000000001</v>
      </c>
      <c r="C17" s="54">
        <f>MAX(B55:H55)</f>
        <v>11.69865</v>
      </c>
      <c r="D17" s="54">
        <f>MAX(B74:H74)</f>
        <v>42.58535</v>
      </c>
      <c r="E17" s="54">
        <f>MAX(B93:H93)</f>
        <v>5.468150000000001</v>
      </c>
      <c r="F17" s="54">
        <f>MAX(B112:H112)</f>
        <v>8.473105400294449</v>
      </c>
    </row>
    <row r="19" spans="1:8" ht="12.75">
      <c r="A19" s="55" t="s">
        <v>277</v>
      </c>
      <c r="B19" s="55"/>
      <c r="C19" s="55"/>
      <c r="D19" s="55"/>
      <c r="E19" s="55"/>
      <c r="F19" s="55"/>
      <c r="G19" s="55"/>
      <c r="H19" s="55"/>
    </row>
    <row r="20" spans="1:8" ht="12.75">
      <c r="A20" s="55" t="s">
        <v>305</v>
      </c>
      <c r="B20" s="55"/>
      <c r="C20" s="55"/>
      <c r="D20" s="55"/>
      <c r="E20" s="55"/>
      <c r="F20" s="55"/>
      <c r="G20" s="55"/>
      <c r="H20" s="55"/>
    </row>
    <row r="21" spans="1:8" ht="12.75">
      <c r="A21" s="57" t="s">
        <v>48</v>
      </c>
      <c r="B21" s="57" t="s">
        <v>55</v>
      </c>
      <c r="C21" s="57"/>
      <c r="D21" s="57"/>
      <c r="E21" s="57"/>
      <c r="F21" s="57"/>
      <c r="G21" s="57"/>
      <c r="H21" s="57"/>
    </row>
    <row r="22" spans="1:8" ht="12.75">
      <c r="A22" s="57"/>
      <c r="B22" s="3">
        <v>1</v>
      </c>
      <c r="C22" s="3">
        <v>2</v>
      </c>
      <c r="D22" s="3">
        <v>3</v>
      </c>
      <c r="E22" s="3">
        <v>4</v>
      </c>
      <c r="F22" s="3">
        <v>5</v>
      </c>
      <c r="G22" s="3">
        <v>6</v>
      </c>
      <c r="H22" s="3">
        <v>7</v>
      </c>
    </row>
    <row r="23" spans="1:8" ht="12.75" hidden="1">
      <c r="A23" s="3"/>
      <c r="B23" s="20">
        <f>B36</f>
        <v>10.3063</v>
      </c>
      <c r="C23" s="20">
        <f aca="true" t="shared" si="0" ref="C23:H23">C36</f>
        <v>14.44605</v>
      </c>
      <c r="D23" s="20">
        <f t="shared" si="0"/>
        <v>24.33715</v>
      </c>
      <c r="E23" s="20">
        <f t="shared" si="0"/>
        <v>41.88435</v>
      </c>
      <c r="F23" s="20">
        <f t="shared" si="0"/>
        <v>56.1993</v>
      </c>
      <c r="G23" s="20">
        <f t="shared" si="0"/>
        <v>73.38125000000001</v>
      </c>
      <c r="H23" s="20">
        <f t="shared" si="0"/>
        <v>52.5007</v>
      </c>
    </row>
    <row r="24" spans="1:8" ht="12.75">
      <c r="A24" s="6" t="s">
        <v>76</v>
      </c>
      <c r="B24" s="18">
        <f>'Tables 9-14'!B27</f>
        <v>1.565</v>
      </c>
      <c r="C24" s="18">
        <f>'Tables 9-14'!C27</f>
        <v>1.565</v>
      </c>
      <c r="D24" s="18">
        <f>'Tables 9-14'!D27</f>
        <v>6.97</v>
      </c>
      <c r="E24" s="18">
        <f>'Tables 9-14'!E27</f>
        <v>11.27</v>
      </c>
      <c r="F24" s="18">
        <f>'Tables 9-14'!F27</f>
        <v>18.615000000000002</v>
      </c>
      <c r="G24" s="18">
        <f>'Tables 9-14'!G27</f>
        <v>18.41</v>
      </c>
      <c r="H24" s="18">
        <f>'Tables 9-14'!H27</f>
        <v>21.540000000000003</v>
      </c>
    </row>
    <row r="25" spans="1:8" ht="12.75">
      <c r="A25" s="6" t="s">
        <v>199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</row>
    <row r="26" spans="1:8" ht="12.75">
      <c r="A26" s="6" t="s">
        <v>200</v>
      </c>
      <c r="B26" s="18">
        <f>-B25*B24</f>
        <v>0</v>
      </c>
      <c r="C26" s="18">
        <f aca="true" t="shared" si="1" ref="C26:H26">-C25*C24</f>
        <v>0</v>
      </c>
      <c r="D26" s="18">
        <f t="shared" si="1"/>
        <v>0</v>
      </c>
      <c r="E26" s="18">
        <f t="shared" si="1"/>
        <v>0</v>
      </c>
      <c r="F26" s="18">
        <f t="shared" si="1"/>
        <v>0</v>
      </c>
      <c r="G26" s="18">
        <f t="shared" si="1"/>
        <v>0</v>
      </c>
      <c r="H26" s="18">
        <f t="shared" si="1"/>
        <v>0</v>
      </c>
    </row>
    <row r="27" spans="1:8" ht="12.75">
      <c r="A27" s="19" t="s">
        <v>201</v>
      </c>
      <c r="B27" s="20">
        <f>B24+B26</f>
        <v>1.565</v>
      </c>
      <c r="C27" s="20">
        <f aca="true" t="shared" si="2" ref="C27:H27">C24+C26</f>
        <v>1.565</v>
      </c>
      <c r="D27" s="20">
        <f t="shared" si="2"/>
        <v>6.97</v>
      </c>
      <c r="E27" s="20">
        <f t="shared" si="2"/>
        <v>11.27</v>
      </c>
      <c r="F27" s="20">
        <f t="shared" si="2"/>
        <v>18.615000000000002</v>
      </c>
      <c r="G27" s="20">
        <f t="shared" si="2"/>
        <v>18.41</v>
      </c>
      <c r="H27" s="20">
        <f t="shared" si="2"/>
        <v>21.540000000000003</v>
      </c>
    </row>
    <row r="28" spans="1:8" ht="12.75">
      <c r="A28" s="6" t="s">
        <v>77</v>
      </c>
      <c r="B28" s="28" t="s">
        <v>79</v>
      </c>
      <c r="C28" s="28" t="s">
        <v>79</v>
      </c>
      <c r="D28" s="28" t="s">
        <v>79</v>
      </c>
      <c r="E28" s="28" t="s">
        <v>79</v>
      </c>
      <c r="F28" s="28" t="s">
        <v>79</v>
      </c>
      <c r="G28" s="28" t="s">
        <v>79</v>
      </c>
      <c r="H28" s="28" t="s">
        <v>79</v>
      </c>
    </row>
    <row r="29" spans="1:8" ht="12.75">
      <c r="A29" s="6" t="s">
        <v>199</v>
      </c>
      <c r="B29" s="28" t="s">
        <v>79</v>
      </c>
      <c r="C29" s="28" t="s">
        <v>79</v>
      </c>
      <c r="D29" s="28" t="s">
        <v>79</v>
      </c>
      <c r="E29" s="28" t="s">
        <v>79</v>
      </c>
      <c r="F29" s="28" t="s">
        <v>79</v>
      </c>
      <c r="G29" s="28" t="s">
        <v>79</v>
      </c>
      <c r="H29" s="28" t="s">
        <v>79</v>
      </c>
    </row>
    <row r="30" spans="1:8" ht="12.75">
      <c r="A30" s="6" t="s">
        <v>200</v>
      </c>
      <c r="B30" s="28" t="s">
        <v>79</v>
      </c>
      <c r="C30" s="28" t="s">
        <v>79</v>
      </c>
      <c r="D30" s="28" t="s">
        <v>79</v>
      </c>
      <c r="E30" s="28" t="s">
        <v>79</v>
      </c>
      <c r="F30" s="28" t="s">
        <v>79</v>
      </c>
      <c r="G30" s="28" t="s">
        <v>79</v>
      </c>
      <c r="H30" s="28" t="s">
        <v>79</v>
      </c>
    </row>
    <row r="31" spans="1:8" ht="12.75">
      <c r="A31" s="19" t="s">
        <v>201</v>
      </c>
      <c r="B31" s="53" t="s">
        <v>79</v>
      </c>
      <c r="C31" s="53" t="s">
        <v>79</v>
      </c>
      <c r="D31" s="53" t="s">
        <v>79</v>
      </c>
      <c r="E31" s="53" t="s">
        <v>79</v>
      </c>
      <c r="F31" s="53" t="s">
        <v>79</v>
      </c>
      <c r="G31" s="53" t="s">
        <v>79</v>
      </c>
      <c r="H31" s="53" t="s">
        <v>79</v>
      </c>
    </row>
    <row r="32" spans="1:8" ht="12.75">
      <c r="A32" s="6" t="s">
        <v>78</v>
      </c>
      <c r="B32" s="25">
        <f>'Tables 20-25'!B17</f>
        <v>8.7413</v>
      </c>
      <c r="C32" s="25">
        <f>'Tables 20-25'!C17</f>
        <v>12.88105</v>
      </c>
      <c r="D32" s="25">
        <f>'Tables 20-25'!D17</f>
        <v>17.367150000000002</v>
      </c>
      <c r="E32" s="25">
        <f>'Tables 20-25'!E17</f>
        <v>30.61435</v>
      </c>
      <c r="F32" s="25">
        <f>'Tables 20-25'!F17</f>
        <v>37.5843</v>
      </c>
      <c r="G32" s="25">
        <f>'Tables 20-25'!G17</f>
        <v>54.971250000000005</v>
      </c>
      <c r="H32" s="25">
        <f>'Tables 20-25'!H17</f>
        <v>30.9607</v>
      </c>
    </row>
    <row r="33" spans="1:8" ht="12.75">
      <c r="A33" s="6" t="s">
        <v>199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</row>
    <row r="34" spans="1:8" ht="12.75">
      <c r="A34" s="6" t="s">
        <v>200</v>
      </c>
      <c r="B34" s="18">
        <f>-B33*B32</f>
        <v>0</v>
      </c>
      <c r="C34" s="18">
        <f aca="true" t="shared" si="3" ref="C34:H34">-C33*C32</f>
        <v>0</v>
      </c>
      <c r="D34" s="18">
        <f t="shared" si="3"/>
        <v>0</v>
      </c>
      <c r="E34" s="18">
        <f t="shared" si="3"/>
        <v>0</v>
      </c>
      <c r="F34" s="18">
        <f t="shared" si="3"/>
        <v>0</v>
      </c>
      <c r="G34" s="18">
        <f t="shared" si="3"/>
        <v>0</v>
      </c>
      <c r="H34" s="18">
        <f t="shared" si="3"/>
        <v>0</v>
      </c>
    </row>
    <row r="35" spans="1:8" ht="12.75">
      <c r="A35" s="19" t="s">
        <v>201</v>
      </c>
      <c r="B35" s="20">
        <f>B32+B34</f>
        <v>8.7413</v>
      </c>
      <c r="C35" s="20">
        <f aca="true" t="shared" si="4" ref="C35:H35">C32+C34</f>
        <v>12.88105</v>
      </c>
      <c r="D35" s="20">
        <f t="shared" si="4"/>
        <v>17.367150000000002</v>
      </c>
      <c r="E35" s="20">
        <f t="shared" si="4"/>
        <v>30.61435</v>
      </c>
      <c r="F35" s="20">
        <f t="shared" si="4"/>
        <v>37.5843</v>
      </c>
      <c r="G35" s="20">
        <f t="shared" si="4"/>
        <v>54.971250000000005</v>
      </c>
      <c r="H35" s="20">
        <f t="shared" si="4"/>
        <v>30.9607</v>
      </c>
    </row>
    <row r="36" spans="1:8" ht="12.75">
      <c r="A36" s="19" t="s">
        <v>21</v>
      </c>
      <c r="B36" s="20">
        <f>B27+B35</f>
        <v>10.3063</v>
      </c>
      <c r="C36" s="20">
        <f aca="true" t="shared" si="5" ref="C36:H36">C27+C35</f>
        <v>14.44605</v>
      </c>
      <c r="D36" s="20">
        <f t="shared" si="5"/>
        <v>24.33715</v>
      </c>
      <c r="E36" s="20">
        <f t="shared" si="5"/>
        <v>41.88435</v>
      </c>
      <c r="F36" s="20">
        <f t="shared" si="5"/>
        <v>56.1993</v>
      </c>
      <c r="G36" s="20">
        <f t="shared" si="5"/>
        <v>73.38125000000001</v>
      </c>
      <c r="H36" s="20">
        <f t="shared" si="5"/>
        <v>52.5007</v>
      </c>
    </row>
    <row r="38" spans="1:8" ht="12.75">
      <c r="A38" s="55" t="s">
        <v>155</v>
      </c>
      <c r="B38" s="55"/>
      <c r="C38" s="55"/>
      <c r="D38" s="55"/>
      <c r="E38" s="55"/>
      <c r="F38" s="55"/>
      <c r="G38" s="55"/>
      <c r="H38" s="55"/>
    </row>
    <row r="39" spans="1:8" ht="12.75">
      <c r="A39" s="55" t="s">
        <v>306</v>
      </c>
      <c r="B39" s="55"/>
      <c r="C39" s="55"/>
      <c r="D39" s="55"/>
      <c r="E39" s="55"/>
      <c r="F39" s="55"/>
      <c r="G39" s="55"/>
      <c r="H39" s="55"/>
    </row>
    <row r="40" spans="1:8" ht="12.75">
      <c r="A40" s="57" t="s">
        <v>48</v>
      </c>
      <c r="B40" s="57" t="s">
        <v>55</v>
      </c>
      <c r="C40" s="57"/>
      <c r="D40" s="57"/>
      <c r="E40" s="57"/>
      <c r="F40" s="57"/>
      <c r="G40" s="57"/>
      <c r="H40" s="57"/>
    </row>
    <row r="41" spans="1:8" ht="12.75">
      <c r="A41" s="57"/>
      <c r="B41" s="3">
        <v>1</v>
      </c>
      <c r="C41" s="3">
        <v>2</v>
      </c>
      <c r="D41" s="3">
        <v>3</v>
      </c>
      <c r="E41" s="3">
        <v>4</v>
      </c>
      <c r="F41" s="3">
        <v>5</v>
      </c>
      <c r="G41" s="3">
        <v>6</v>
      </c>
      <c r="H41" s="3">
        <v>7</v>
      </c>
    </row>
    <row r="42" spans="1:8" ht="12.75" hidden="1">
      <c r="A42" s="3"/>
      <c r="B42" s="20">
        <f>B55</f>
        <v>1.59446</v>
      </c>
      <c r="C42" s="20">
        <f aca="true" t="shared" si="6" ref="C42:H42">C55</f>
        <v>2.03721</v>
      </c>
      <c r="D42" s="20">
        <f t="shared" si="6"/>
        <v>3.87143</v>
      </c>
      <c r="E42" s="20">
        <f t="shared" si="6"/>
        <v>6.41873</v>
      </c>
      <c r="F42" s="20">
        <f t="shared" si="6"/>
        <v>9.791599999999999</v>
      </c>
      <c r="G42" s="20">
        <f t="shared" si="6"/>
        <v>11.69865</v>
      </c>
      <c r="H42" s="20">
        <f t="shared" si="6"/>
        <v>10.422699999999999</v>
      </c>
    </row>
    <row r="43" spans="1:8" ht="12.75">
      <c r="A43" s="6" t="s">
        <v>76</v>
      </c>
      <c r="B43" s="18">
        <f>'Tables 9-14'!B41</f>
        <v>0.68</v>
      </c>
      <c r="C43" s="18">
        <f>'Tables 9-14'!C41</f>
        <v>0.68</v>
      </c>
      <c r="D43" s="18">
        <f>'Tables 9-14'!D41</f>
        <v>2.095</v>
      </c>
      <c r="E43" s="18">
        <f>'Tables 9-14'!E41</f>
        <v>3.285</v>
      </c>
      <c r="F43" s="18">
        <f>'Tables 9-14'!F41</f>
        <v>6.04</v>
      </c>
      <c r="G43" s="18">
        <f>'Tables 9-14'!G41</f>
        <v>6.09</v>
      </c>
      <c r="H43" s="18">
        <f>'Tables 9-14'!H41</f>
        <v>7.449999999999999</v>
      </c>
    </row>
    <row r="44" spans="1:8" ht="12.75">
      <c r="A44" s="6" t="s">
        <v>199</v>
      </c>
      <c r="B44" s="41">
        <v>0.05</v>
      </c>
      <c r="C44" s="41">
        <v>0.05</v>
      </c>
      <c r="D44" s="41">
        <v>0.05</v>
      </c>
      <c r="E44" s="41">
        <v>0.05</v>
      </c>
      <c r="F44" s="41">
        <v>0.05</v>
      </c>
      <c r="G44" s="41">
        <v>0.05</v>
      </c>
      <c r="H44" s="41">
        <v>0.05</v>
      </c>
    </row>
    <row r="45" spans="1:8" ht="12.75">
      <c r="A45" s="6" t="s">
        <v>200</v>
      </c>
      <c r="B45" s="18">
        <f aca="true" t="shared" si="7" ref="B45:H45">-B44*B43</f>
        <v>-0.034</v>
      </c>
      <c r="C45" s="18">
        <f t="shared" si="7"/>
        <v>-0.034</v>
      </c>
      <c r="D45" s="18">
        <f t="shared" si="7"/>
        <v>-0.10475000000000001</v>
      </c>
      <c r="E45" s="18">
        <f t="shared" si="7"/>
        <v>-0.16425</v>
      </c>
      <c r="F45" s="18">
        <f t="shared" si="7"/>
        <v>-0.30200000000000005</v>
      </c>
      <c r="G45" s="18">
        <f t="shared" si="7"/>
        <v>-0.3045</v>
      </c>
      <c r="H45" s="18">
        <f t="shared" si="7"/>
        <v>-0.3725</v>
      </c>
    </row>
    <row r="46" spans="1:8" ht="12.75">
      <c r="A46" s="19" t="s">
        <v>201</v>
      </c>
      <c r="B46" s="20">
        <f aca="true" t="shared" si="8" ref="B46:H46">B43+B45</f>
        <v>0.646</v>
      </c>
      <c r="C46" s="20">
        <f t="shared" si="8"/>
        <v>0.646</v>
      </c>
      <c r="D46" s="20">
        <f t="shared" si="8"/>
        <v>1.99025</v>
      </c>
      <c r="E46" s="20">
        <f t="shared" si="8"/>
        <v>3.12075</v>
      </c>
      <c r="F46" s="20">
        <f t="shared" si="8"/>
        <v>5.7379999999999995</v>
      </c>
      <c r="G46" s="20">
        <f t="shared" si="8"/>
        <v>5.7855</v>
      </c>
      <c r="H46" s="20">
        <f t="shared" si="8"/>
        <v>7.0775</v>
      </c>
    </row>
    <row r="47" spans="1:8" ht="12.75">
      <c r="A47" s="6" t="s">
        <v>77</v>
      </c>
      <c r="B47" s="28" t="s">
        <v>79</v>
      </c>
      <c r="C47" s="28" t="s">
        <v>79</v>
      </c>
      <c r="D47" s="28" t="s">
        <v>79</v>
      </c>
      <c r="E47" s="28" t="s">
        <v>79</v>
      </c>
      <c r="F47" s="28" t="s">
        <v>79</v>
      </c>
      <c r="G47" s="28" t="s">
        <v>79</v>
      </c>
      <c r="H47" s="28" t="s">
        <v>79</v>
      </c>
    </row>
    <row r="48" spans="1:8" ht="12.75">
      <c r="A48" s="6" t="s">
        <v>199</v>
      </c>
      <c r="B48" s="28" t="s">
        <v>79</v>
      </c>
      <c r="C48" s="28" t="s">
        <v>79</v>
      </c>
      <c r="D48" s="28" t="s">
        <v>79</v>
      </c>
      <c r="E48" s="28" t="s">
        <v>79</v>
      </c>
      <c r="F48" s="28" t="s">
        <v>79</v>
      </c>
      <c r="G48" s="28" t="s">
        <v>79</v>
      </c>
      <c r="H48" s="28" t="s">
        <v>79</v>
      </c>
    </row>
    <row r="49" spans="1:8" ht="12.75">
      <c r="A49" s="6" t="s">
        <v>200</v>
      </c>
      <c r="B49" s="28" t="s">
        <v>79</v>
      </c>
      <c r="C49" s="28" t="s">
        <v>79</v>
      </c>
      <c r="D49" s="28" t="s">
        <v>79</v>
      </c>
      <c r="E49" s="28" t="s">
        <v>79</v>
      </c>
      <c r="F49" s="28" t="s">
        <v>79</v>
      </c>
      <c r="G49" s="28" t="s">
        <v>79</v>
      </c>
      <c r="H49" s="28" t="s">
        <v>79</v>
      </c>
    </row>
    <row r="50" spans="1:8" ht="12.75">
      <c r="A50" s="19" t="s">
        <v>201</v>
      </c>
      <c r="B50" s="28" t="s">
        <v>79</v>
      </c>
      <c r="C50" s="28" t="s">
        <v>79</v>
      </c>
      <c r="D50" s="28" t="s">
        <v>79</v>
      </c>
      <c r="E50" s="28" t="s">
        <v>79</v>
      </c>
      <c r="F50" s="28" t="s">
        <v>79</v>
      </c>
      <c r="G50" s="28" t="s">
        <v>79</v>
      </c>
      <c r="H50" s="28" t="s">
        <v>79</v>
      </c>
    </row>
    <row r="51" spans="1:8" ht="12.75">
      <c r="A51" s="6" t="s">
        <v>78</v>
      </c>
      <c r="B51" s="25">
        <f>'Tables 20-25'!B26</f>
        <v>0.94846</v>
      </c>
      <c r="C51" s="25">
        <f>'Tables 20-25'!C26</f>
        <v>1.3912099999999998</v>
      </c>
      <c r="D51" s="25">
        <f>'Tables 20-25'!D26</f>
        <v>1.8811799999999999</v>
      </c>
      <c r="E51" s="25">
        <f>'Tables 20-25'!E26</f>
        <v>3.2979800000000004</v>
      </c>
      <c r="F51" s="25">
        <f>'Tables 20-25'!F26</f>
        <v>4.0536</v>
      </c>
      <c r="G51" s="25">
        <f>'Tables 20-25'!G26</f>
        <v>5.91315</v>
      </c>
      <c r="H51" s="25">
        <f>'Tables 20-25'!H26</f>
        <v>3.3452</v>
      </c>
    </row>
    <row r="52" spans="1:8" ht="12.75">
      <c r="A52" s="6" t="s">
        <v>199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</row>
    <row r="53" spans="1:8" ht="12.75">
      <c r="A53" s="6" t="s">
        <v>200</v>
      </c>
      <c r="B53" s="18">
        <f aca="true" t="shared" si="9" ref="B53:H53">-B52*B51</f>
        <v>0</v>
      </c>
      <c r="C53" s="18">
        <f t="shared" si="9"/>
        <v>0</v>
      </c>
      <c r="D53" s="18">
        <f t="shared" si="9"/>
        <v>0</v>
      </c>
      <c r="E53" s="18">
        <f t="shared" si="9"/>
        <v>0</v>
      </c>
      <c r="F53" s="18">
        <f t="shared" si="9"/>
        <v>0</v>
      </c>
      <c r="G53" s="18">
        <f t="shared" si="9"/>
        <v>0</v>
      </c>
      <c r="H53" s="18">
        <f t="shared" si="9"/>
        <v>0</v>
      </c>
    </row>
    <row r="54" spans="1:8" ht="12.75">
      <c r="A54" s="19" t="s">
        <v>201</v>
      </c>
      <c r="B54" s="20">
        <f aca="true" t="shared" si="10" ref="B54:H54">B51+B53</f>
        <v>0.94846</v>
      </c>
      <c r="C54" s="20">
        <f t="shared" si="10"/>
        <v>1.3912099999999998</v>
      </c>
      <c r="D54" s="20">
        <f t="shared" si="10"/>
        <v>1.8811799999999999</v>
      </c>
      <c r="E54" s="20">
        <f t="shared" si="10"/>
        <v>3.2979800000000004</v>
      </c>
      <c r="F54" s="20">
        <f t="shared" si="10"/>
        <v>4.0536</v>
      </c>
      <c r="G54" s="20">
        <f t="shared" si="10"/>
        <v>5.91315</v>
      </c>
      <c r="H54" s="20">
        <f t="shared" si="10"/>
        <v>3.3452</v>
      </c>
    </row>
    <row r="55" spans="1:8" ht="12.75">
      <c r="A55" s="19" t="s">
        <v>21</v>
      </c>
      <c r="B55" s="20">
        <f>B46+B54</f>
        <v>1.59446</v>
      </c>
      <c r="C55" s="20">
        <f aca="true" t="shared" si="11" ref="C55:H55">C46+C54</f>
        <v>2.03721</v>
      </c>
      <c r="D55" s="20">
        <f t="shared" si="11"/>
        <v>3.87143</v>
      </c>
      <c r="E55" s="20">
        <f t="shared" si="11"/>
        <v>6.41873</v>
      </c>
      <c r="F55" s="20">
        <f t="shared" si="11"/>
        <v>9.791599999999999</v>
      </c>
      <c r="G55" s="20">
        <f t="shared" si="11"/>
        <v>11.69865</v>
      </c>
      <c r="H55" s="20">
        <f t="shared" si="11"/>
        <v>10.422699999999999</v>
      </c>
    </row>
    <row r="57" spans="1:8" ht="12.75">
      <c r="A57" s="55" t="s">
        <v>156</v>
      </c>
      <c r="B57" s="55"/>
      <c r="C57" s="55"/>
      <c r="D57" s="55"/>
      <c r="E57" s="55"/>
      <c r="F57" s="55"/>
      <c r="G57" s="55"/>
      <c r="H57" s="55"/>
    </row>
    <row r="58" spans="1:8" ht="12.75">
      <c r="A58" s="55" t="s">
        <v>307</v>
      </c>
      <c r="B58" s="55"/>
      <c r="C58" s="55"/>
      <c r="D58" s="55"/>
      <c r="E58" s="55"/>
      <c r="F58" s="55"/>
      <c r="G58" s="55"/>
      <c r="H58" s="55"/>
    </row>
    <row r="59" spans="1:8" ht="12.75">
      <c r="A59" s="57" t="s">
        <v>48</v>
      </c>
      <c r="B59" s="57" t="s">
        <v>55</v>
      </c>
      <c r="C59" s="57"/>
      <c r="D59" s="57"/>
      <c r="E59" s="57"/>
      <c r="F59" s="57"/>
      <c r="G59" s="57"/>
      <c r="H59" s="57"/>
    </row>
    <row r="60" spans="1:8" ht="12.75">
      <c r="A60" s="57"/>
      <c r="B60" s="3">
        <v>1</v>
      </c>
      <c r="C60" s="3">
        <v>2</v>
      </c>
      <c r="D60" s="3">
        <v>3</v>
      </c>
      <c r="E60" s="3">
        <v>4</v>
      </c>
      <c r="F60" s="3">
        <v>5</v>
      </c>
      <c r="G60" s="3">
        <v>6</v>
      </c>
      <c r="H60" s="3">
        <v>7</v>
      </c>
    </row>
    <row r="61" spans="1:8" ht="12.75" hidden="1">
      <c r="A61" s="3"/>
      <c r="B61" s="20">
        <f>B74</f>
        <v>2.68914</v>
      </c>
      <c r="C61" s="20">
        <f aca="true" t="shared" si="12" ref="C61:H61">C74</f>
        <v>3.13914</v>
      </c>
      <c r="D61" s="20">
        <f t="shared" si="12"/>
        <v>17.309495</v>
      </c>
      <c r="E61" s="20">
        <f t="shared" si="12"/>
        <v>25.765245</v>
      </c>
      <c r="F61" s="20">
        <f t="shared" si="12"/>
        <v>42.58535</v>
      </c>
      <c r="G61" s="20">
        <f t="shared" si="12"/>
        <v>32.67635</v>
      </c>
      <c r="H61" s="20">
        <f t="shared" si="12"/>
        <v>32.460350000000005</v>
      </c>
    </row>
    <row r="62" spans="1:8" ht="12.75">
      <c r="A62" s="6" t="s">
        <v>76</v>
      </c>
      <c r="B62" s="18">
        <f>'Tables 9-14'!B55</f>
        <v>1.26</v>
      </c>
      <c r="C62" s="18">
        <f>'Tables 9-14'!C55</f>
        <v>1.26</v>
      </c>
      <c r="D62" s="18">
        <f>'Tables 9-14'!D55</f>
        <v>15.235</v>
      </c>
      <c r="E62" s="18">
        <f>'Tables 9-14'!E55</f>
        <v>22.62</v>
      </c>
      <c r="F62" s="18">
        <f>'Tables 9-14'!F55</f>
        <v>39.099999999999994</v>
      </c>
      <c r="G62" s="18">
        <f>'Tables 9-14'!G55</f>
        <v>26.68</v>
      </c>
      <c r="H62" s="18">
        <f>'Tables 9-14'!H55</f>
        <v>29.200000000000003</v>
      </c>
    </row>
    <row r="63" spans="1:8" ht="12.75">
      <c r="A63" s="6" t="s">
        <v>199</v>
      </c>
      <c r="B63" s="41">
        <v>0.05</v>
      </c>
      <c r="C63" s="41">
        <v>0.05</v>
      </c>
      <c r="D63" s="41">
        <v>0.05</v>
      </c>
      <c r="E63" s="41">
        <v>0.05</v>
      </c>
      <c r="F63" s="41">
        <v>0.05</v>
      </c>
      <c r="G63" s="41">
        <v>0.05</v>
      </c>
      <c r="H63" s="41">
        <v>0.05</v>
      </c>
    </row>
    <row r="64" spans="1:8" ht="12.75">
      <c r="A64" s="6" t="s">
        <v>200</v>
      </c>
      <c r="B64" s="18">
        <f aca="true" t="shared" si="13" ref="B64:H64">-B63*B62</f>
        <v>-0.063</v>
      </c>
      <c r="C64" s="18">
        <f t="shared" si="13"/>
        <v>-0.063</v>
      </c>
      <c r="D64" s="18">
        <f t="shared" si="13"/>
        <v>-0.76175</v>
      </c>
      <c r="E64" s="18">
        <f t="shared" si="13"/>
        <v>-1.131</v>
      </c>
      <c r="F64" s="18">
        <f t="shared" si="13"/>
        <v>-1.9549999999999998</v>
      </c>
      <c r="G64" s="18">
        <f t="shared" si="13"/>
        <v>-1.334</v>
      </c>
      <c r="H64" s="18">
        <f t="shared" si="13"/>
        <v>-1.4600000000000002</v>
      </c>
    </row>
    <row r="65" spans="1:8" ht="12.75">
      <c r="A65" s="19" t="s">
        <v>201</v>
      </c>
      <c r="B65" s="20">
        <f aca="true" t="shared" si="14" ref="B65:H65">B62+B64</f>
        <v>1.197</v>
      </c>
      <c r="C65" s="20">
        <f t="shared" si="14"/>
        <v>1.197</v>
      </c>
      <c r="D65" s="20">
        <f t="shared" si="14"/>
        <v>14.47325</v>
      </c>
      <c r="E65" s="20">
        <f t="shared" si="14"/>
        <v>21.489</v>
      </c>
      <c r="F65" s="20">
        <f t="shared" si="14"/>
        <v>37.144999999999996</v>
      </c>
      <c r="G65" s="20">
        <f t="shared" si="14"/>
        <v>25.346</v>
      </c>
      <c r="H65" s="20">
        <f t="shared" si="14"/>
        <v>27.740000000000002</v>
      </c>
    </row>
    <row r="66" spans="1:8" ht="12.75">
      <c r="A66" s="6" t="s">
        <v>77</v>
      </c>
      <c r="B66" s="28" t="s">
        <v>79</v>
      </c>
      <c r="C66" s="28" t="s">
        <v>79</v>
      </c>
      <c r="D66" s="28" t="s">
        <v>79</v>
      </c>
      <c r="E66" s="28" t="s">
        <v>79</v>
      </c>
      <c r="F66" s="28" t="s">
        <v>79</v>
      </c>
      <c r="G66" s="28" t="s">
        <v>79</v>
      </c>
      <c r="H66" s="28" t="s">
        <v>79</v>
      </c>
    </row>
    <row r="67" spans="1:8" ht="12.75">
      <c r="A67" s="6" t="s">
        <v>199</v>
      </c>
      <c r="B67" s="28" t="s">
        <v>79</v>
      </c>
      <c r="C67" s="28" t="s">
        <v>79</v>
      </c>
      <c r="D67" s="28" t="s">
        <v>79</v>
      </c>
      <c r="E67" s="28" t="s">
        <v>79</v>
      </c>
      <c r="F67" s="28" t="s">
        <v>79</v>
      </c>
      <c r="G67" s="28" t="s">
        <v>79</v>
      </c>
      <c r="H67" s="28" t="s">
        <v>79</v>
      </c>
    </row>
    <row r="68" spans="1:8" ht="12.75">
      <c r="A68" s="6" t="s">
        <v>200</v>
      </c>
      <c r="B68" s="28" t="s">
        <v>79</v>
      </c>
      <c r="C68" s="28" t="s">
        <v>79</v>
      </c>
      <c r="D68" s="28" t="s">
        <v>79</v>
      </c>
      <c r="E68" s="28" t="s">
        <v>79</v>
      </c>
      <c r="F68" s="28" t="s">
        <v>79</v>
      </c>
      <c r="G68" s="28" t="s">
        <v>79</v>
      </c>
      <c r="H68" s="28" t="s">
        <v>79</v>
      </c>
    </row>
    <row r="69" spans="1:8" ht="12.75">
      <c r="A69" s="19" t="s">
        <v>201</v>
      </c>
      <c r="B69" s="28" t="s">
        <v>79</v>
      </c>
      <c r="C69" s="28" t="s">
        <v>79</v>
      </c>
      <c r="D69" s="28" t="s">
        <v>79</v>
      </c>
      <c r="E69" s="28" t="s">
        <v>79</v>
      </c>
      <c r="F69" s="28" t="s">
        <v>79</v>
      </c>
      <c r="G69" s="28" t="s">
        <v>79</v>
      </c>
      <c r="H69" s="28" t="s">
        <v>79</v>
      </c>
    </row>
    <row r="70" spans="1:8" ht="12.75">
      <c r="A70" s="6" t="s">
        <v>78</v>
      </c>
      <c r="B70" s="25">
        <f>'Tables 20-25'!B35</f>
        <v>1.49214</v>
      </c>
      <c r="C70" s="25">
        <f>'Tables 20-25'!C35</f>
        <v>1.9421399999999998</v>
      </c>
      <c r="D70" s="25">
        <f>'Tables 20-25'!D35</f>
        <v>2.836245</v>
      </c>
      <c r="E70" s="25">
        <f>'Tables 20-25'!E35</f>
        <v>4.276244999999999</v>
      </c>
      <c r="F70" s="25">
        <f>'Tables 20-25'!F35</f>
        <v>5.4403500000000005</v>
      </c>
      <c r="G70" s="25">
        <f>'Tables 20-25'!G35</f>
        <v>7.330349999999999</v>
      </c>
      <c r="H70" s="25">
        <f>'Tables 20-25'!H35</f>
        <v>4.72035</v>
      </c>
    </row>
    <row r="71" spans="1:8" ht="12.75">
      <c r="A71" s="6" t="s">
        <v>199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</row>
    <row r="72" spans="1:8" ht="12.75">
      <c r="A72" s="6" t="s">
        <v>200</v>
      </c>
      <c r="B72" s="18">
        <f aca="true" t="shared" si="15" ref="B72:H72">-B71*B70</f>
        <v>0</v>
      </c>
      <c r="C72" s="18">
        <f t="shared" si="15"/>
        <v>0</v>
      </c>
      <c r="D72" s="18">
        <f t="shared" si="15"/>
        <v>0</v>
      </c>
      <c r="E72" s="18">
        <f t="shared" si="15"/>
        <v>0</v>
      </c>
      <c r="F72" s="18">
        <f t="shared" si="15"/>
        <v>0</v>
      </c>
      <c r="G72" s="18">
        <f t="shared" si="15"/>
        <v>0</v>
      </c>
      <c r="H72" s="18">
        <f t="shared" si="15"/>
        <v>0</v>
      </c>
    </row>
    <row r="73" spans="1:8" ht="12.75">
      <c r="A73" s="19" t="s">
        <v>201</v>
      </c>
      <c r="B73" s="20">
        <f aca="true" t="shared" si="16" ref="B73:H73">B70+B72</f>
        <v>1.49214</v>
      </c>
      <c r="C73" s="20">
        <f t="shared" si="16"/>
        <v>1.9421399999999998</v>
      </c>
      <c r="D73" s="20">
        <f t="shared" si="16"/>
        <v>2.836245</v>
      </c>
      <c r="E73" s="20">
        <f t="shared" si="16"/>
        <v>4.276244999999999</v>
      </c>
      <c r="F73" s="20">
        <f t="shared" si="16"/>
        <v>5.4403500000000005</v>
      </c>
      <c r="G73" s="20">
        <f t="shared" si="16"/>
        <v>7.330349999999999</v>
      </c>
      <c r="H73" s="20">
        <f t="shared" si="16"/>
        <v>4.72035</v>
      </c>
    </row>
    <row r="74" spans="1:8" ht="12.75">
      <c r="A74" s="19" t="s">
        <v>21</v>
      </c>
      <c r="B74" s="20">
        <f aca="true" t="shared" si="17" ref="B74:H74">B65+B73</f>
        <v>2.68914</v>
      </c>
      <c r="C74" s="20">
        <f t="shared" si="17"/>
        <v>3.13914</v>
      </c>
      <c r="D74" s="20">
        <f t="shared" si="17"/>
        <v>17.309495</v>
      </c>
      <c r="E74" s="20">
        <f t="shared" si="17"/>
        <v>25.765245</v>
      </c>
      <c r="F74" s="20">
        <f t="shared" si="17"/>
        <v>42.58535</v>
      </c>
      <c r="G74" s="20">
        <f t="shared" si="17"/>
        <v>32.67635</v>
      </c>
      <c r="H74" s="20">
        <f t="shared" si="17"/>
        <v>32.460350000000005</v>
      </c>
    </row>
    <row r="76" spans="1:8" ht="12.75">
      <c r="A76" s="55" t="s">
        <v>157</v>
      </c>
      <c r="B76" s="55"/>
      <c r="C76" s="55"/>
      <c r="D76" s="55"/>
      <c r="E76" s="55"/>
      <c r="F76" s="55"/>
      <c r="G76" s="55"/>
      <c r="H76" s="55"/>
    </row>
    <row r="77" spans="1:8" ht="12.75">
      <c r="A77" s="55" t="s">
        <v>308</v>
      </c>
      <c r="B77" s="55"/>
      <c r="C77" s="55"/>
      <c r="D77" s="55"/>
      <c r="E77" s="55"/>
      <c r="F77" s="55"/>
      <c r="G77" s="55"/>
      <c r="H77" s="55"/>
    </row>
    <row r="78" spans="1:8" ht="12.75">
      <c r="A78" s="57" t="s">
        <v>48</v>
      </c>
      <c r="B78" s="57" t="s">
        <v>55</v>
      </c>
      <c r="C78" s="57"/>
      <c r="D78" s="57"/>
      <c r="E78" s="57"/>
      <c r="F78" s="57"/>
      <c r="G78" s="57"/>
      <c r="H78" s="57"/>
    </row>
    <row r="79" spans="1:8" ht="12.75">
      <c r="A79" s="57"/>
      <c r="B79" s="3">
        <v>1</v>
      </c>
      <c r="C79" s="3">
        <v>2</v>
      </c>
      <c r="D79" s="3">
        <v>3</v>
      </c>
      <c r="E79" s="3">
        <v>4</v>
      </c>
      <c r="F79" s="3">
        <v>5</v>
      </c>
      <c r="G79" s="3">
        <v>6</v>
      </c>
      <c r="H79" s="3">
        <v>7</v>
      </c>
    </row>
    <row r="80" spans="1:8" ht="12.75" hidden="1">
      <c r="A80" s="3"/>
      <c r="B80" s="20">
        <f>B93</f>
        <v>0.27111</v>
      </c>
      <c r="C80" s="20">
        <f aca="true" t="shared" si="18" ref="C80:H80">C93</f>
        <v>0.27361</v>
      </c>
      <c r="D80" s="20">
        <f t="shared" si="18"/>
        <v>1.913755</v>
      </c>
      <c r="E80" s="20">
        <f t="shared" si="18"/>
        <v>3.204255</v>
      </c>
      <c r="F80" s="20">
        <f t="shared" si="18"/>
        <v>5.468150000000001</v>
      </c>
      <c r="G80" s="20">
        <f t="shared" si="18"/>
        <v>3.43615</v>
      </c>
      <c r="H80" s="20">
        <f t="shared" si="18"/>
        <v>3.944150000000001</v>
      </c>
    </row>
    <row r="81" spans="1:8" ht="12.75">
      <c r="A81" s="6" t="s">
        <v>76</v>
      </c>
      <c r="B81" s="18">
        <f>'Tables 9-14'!B69</f>
        <v>0.275</v>
      </c>
      <c r="C81" s="18">
        <f>'Tables 9-14'!C69</f>
        <v>0.275</v>
      </c>
      <c r="D81" s="18">
        <f>'Tables 9-14'!D69</f>
        <v>1.995</v>
      </c>
      <c r="E81" s="18">
        <f>'Tables 9-14'!E69</f>
        <v>3.345</v>
      </c>
      <c r="F81" s="18">
        <f>'Tables 9-14'!F69</f>
        <v>5.720000000000001</v>
      </c>
      <c r="G81" s="18">
        <f>'Tables 9-14'!G69</f>
        <v>3.5700000000000003</v>
      </c>
      <c r="H81" s="18">
        <f>'Tables 9-14'!H69</f>
        <v>4.120000000000001</v>
      </c>
    </row>
    <row r="82" spans="1:8" ht="12.75">
      <c r="A82" s="6" t="s">
        <v>199</v>
      </c>
      <c r="B82" s="41">
        <v>0.05</v>
      </c>
      <c r="C82" s="41">
        <v>0.05</v>
      </c>
      <c r="D82" s="41">
        <v>0.05</v>
      </c>
      <c r="E82" s="41">
        <v>0.05</v>
      </c>
      <c r="F82" s="41">
        <v>0.05</v>
      </c>
      <c r="G82" s="41">
        <v>0.05</v>
      </c>
      <c r="H82" s="41">
        <v>0.05</v>
      </c>
    </row>
    <row r="83" spans="1:8" ht="12.75">
      <c r="A83" s="6" t="s">
        <v>200</v>
      </c>
      <c r="B83" s="18">
        <f aca="true" t="shared" si="19" ref="B83:H83">-B82*B81</f>
        <v>-0.013750000000000002</v>
      </c>
      <c r="C83" s="18">
        <f t="shared" si="19"/>
        <v>-0.013750000000000002</v>
      </c>
      <c r="D83" s="18">
        <f t="shared" si="19"/>
        <v>-0.09975</v>
      </c>
      <c r="E83" s="18">
        <f t="shared" si="19"/>
        <v>-0.16725</v>
      </c>
      <c r="F83" s="18">
        <f t="shared" si="19"/>
        <v>-0.28600000000000003</v>
      </c>
      <c r="G83" s="18">
        <f t="shared" si="19"/>
        <v>-0.17850000000000002</v>
      </c>
      <c r="H83" s="18">
        <f t="shared" si="19"/>
        <v>-0.20600000000000007</v>
      </c>
    </row>
    <row r="84" spans="1:8" ht="12.75">
      <c r="A84" s="19" t="s">
        <v>201</v>
      </c>
      <c r="B84" s="20">
        <f aca="true" t="shared" si="20" ref="B84:H84">B81+B83</f>
        <v>0.26125000000000004</v>
      </c>
      <c r="C84" s="20">
        <f t="shared" si="20"/>
        <v>0.26125000000000004</v>
      </c>
      <c r="D84" s="20">
        <f t="shared" si="20"/>
        <v>1.89525</v>
      </c>
      <c r="E84" s="20">
        <f t="shared" si="20"/>
        <v>3.17775</v>
      </c>
      <c r="F84" s="20">
        <f t="shared" si="20"/>
        <v>5.434000000000001</v>
      </c>
      <c r="G84" s="20">
        <f t="shared" si="20"/>
        <v>3.3915</v>
      </c>
      <c r="H84" s="20">
        <f t="shared" si="20"/>
        <v>3.914000000000001</v>
      </c>
    </row>
    <row r="85" spans="1:8" ht="12.75">
      <c r="A85" s="6" t="s">
        <v>77</v>
      </c>
      <c r="B85" s="28" t="s">
        <v>79</v>
      </c>
      <c r="C85" s="28" t="s">
        <v>79</v>
      </c>
      <c r="D85" s="28" t="s">
        <v>79</v>
      </c>
      <c r="E85" s="28" t="s">
        <v>79</v>
      </c>
      <c r="F85" s="28" t="s">
        <v>79</v>
      </c>
      <c r="G85" s="28" t="s">
        <v>79</v>
      </c>
      <c r="H85" s="28" t="s">
        <v>79</v>
      </c>
    </row>
    <row r="86" spans="1:8" ht="12.75">
      <c r="A86" s="6" t="s">
        <v>199</v>
      </c>
      <c r="B86" s="28" t="s">
        <v>79</v>
      </c>
      <c r="C86" s="28" t="s">
        <v>79</v>
      </c>
      <c r="D86" s="28" t="s">
        <v>79</v>
      </c>
      <c r="E86" s="28" t="s">
        <v>79</v>
      </c>
      <c r="F86" s="28" t="s">
        <v>79</v>
      </c>
      <c r="G86" s="28" t="s">
        <v>79</v>
      </c>
      <c r="H86" s="28" t="s">
        <v>79</v>
      </c>
    </row>
    <row r="87" spans="1:8" ht="12.75">
      <c r="A87" s="6" t="s">
        <v>200</v>
      </c>
      <c r="B87" s="28" t="s">
        <v>79</v>
      </c>
      <c r="C87" s="28" t="s">
        <v>79</v>
      </c>
      <c r="D87" s="28" t="s">
        <v>79</v>
      </c>
      <c r="E87" s="28" t="s">
        <v>79</v>
      </c>
      <c r="F87" s="28" t="s">
        <v>79</v>
      </c>
      <c r="G87" s="28" t="s">
        <v>79</v>
      </c>
      <c r="H87" s="28" t="s">
        <v>79</v>
      </c>
    </row>
    <row r="88" spans="1:8" ht="12.75">
      <c r="A88" s="19" t="s">
        <v>201</v>
      </c>
      <c r="B88" s="28" t="s">
        <v>79</v>
      </c>
      <c r="C88" s="28" t="s">
        <v>79</v>
      </c>
      <c r="D88" s="28" t="s">
        <v>79</v>
      </c>
      <c r="E88" s="28" t="s">
        <v>79</v>
      </c>
      <c r="F88" s="28" t="s">
        <v>79</v>
      </c>
      <c r="G88" s="28" t="s">
        <v>79</v>
      </c>
      <c r="H88" s="28" t="s">
        <v>79</v>
      </c>
    </row>
    <row r="89" spans="1:8" ht="12.75">
      <c r="A89" s="6" t="s">
        <v>78</v>
      </c>
      <c r="B89" s="25">
        <f>'Tables 20-25'!B44</f>
        <v>0.00986</v>
      </c>
      <c r="C89" s="25">
        <f>'Tables 20-25'!C44</f>
        <v>0.01236</v>
      </c>
      <c r="D89" s="25">
        <f>'Tables 20-25'!D44</f>
        <v>0.018505</v>
      </c>
      <c r="E89" s="25">
        <f>'Tables 20-25'!E44</f>
        <v>0.026505</v>
      </c>
      <c r="F89" s="25">
        <f>'Tables 20-25'!F44</f>
        <v>0.03415</v>
      </c>
      <c r="G89" s="25">
        <f>'Tables 20-25'!G44</f>
        <v>0.04465</v>
      </c>
      <c r="H89" s="25">
        <f>'Tables 20-25'!H44</f>
        <v>0.030150000000000003</v>
      </c>
    </row>
    <row r="90" spans="1:8" ht="12.75">
      <c r="A90" s="6" t="s">
        <v>199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</row>
    <row r="91" spans="1:8" ht="12.75">
      <c r="A91" s="6" t="s">
        <v>200</v>
      </c>
      <c r="B91" s="18">
        <f aca="true" t="shared" si="21" ref="B91:H91">-B90*B89</f>
        <v>0</v>
      </c>
      <c r="C91" s="18">
        <f t="shared" si="21"/>
        <v>0</v>
      </c>
      <c r="D91" s="18">
        <f t="shared" si="21"/>
        <v>0</v>
      </c>
      <c r="E91" s="18">
        <f t="shared" si="21"/>
        <v>0</v>
      </c>
      <c r="F91" s="18">
        <f t="shared" si="21"/>
        <v>0</v>
      </c>
      <c r="G91" s="18">
        <f t="shared" si="21"/>
        <v>0</v>
      </c>
      <c r="H91" s="18">
        <f t="shared" si="21"/>
        <v>0</v>
      </c>
    </row>
    <row r="92" spans="1:8" ht="12.75">
      <c r="A92" s="19" t="s">
        <v>201</v>
      </c>
      <c r="B92" s="20">
        <f aca="true" t="shared" si="22" ref="B92:H92">B89+B91</f>
        <v>0.00986</v>
      </c>
      <c r="C92" s="20">
        <f t="shared" si="22"/>
        <v>0.01236</v>
      </c>
      <c r="D92" s="20">
        <f t="shared" si="22"/>
        <v>0.018505</v>
      </c>
      <c r="E92" s="20">
        <f t="shared" si="22"/>
        <v>0.026505</v>
      </c>
      <c r="F92" s="20">
        <f t="shared" si="22"/>
        <v>0.03415</v>
      </c>
      <c r="G92" s="20">
        <f t="shared" si="22"/>
        <v>0.04465</v>
      </c>
      <c r="H92" s="20">
        <f t="shared" si="22"/>
        <v>0.030150000000000003</v>
      </c>
    </row>
    <row r="93" spans="1:8" ht="12.75">
      <c r="A93" s="19" t="s">
        <v>21</v>
      </c>
      <c r="B93" s="20">
        <f aca="true" t="shared" si="23" ref="B93:H93">B84+B92</f>
        <v>0.27111</v>
      </c>
      <c r="C93" s="20">
        <f t="shared" si="23"/>
        <v>0.27361</v>
      </c>
      <c r="D93" s="20">
        <f t="shared" si="23"/>
        <v>1.913755</v>
      </c>
      <c r="E93" s="20">
        <f t="shared" si="23"/>
        <v>3.204255</v>
      </c>
      <c r="F93" s="20">
        <f t="shared" si="23"/>
        <v>5.468150000000001</v>
      </c>
      <c r="G93" s="20">
        <f t="shared" si="23"/>
        <v>3.43615</v>
      </c>
      <c r="H93" s="20">
        <f t="shared" si="23"/>
        <v>3.944150000000001</v>
      </c>
    </row>
    <row r="95" spans="1:8" ht="12.75">
      <c r="A95" s="55" t="s">
        <v>158</v>
      </c>
      <c r="B95" s="55"/>
      <c r="C95" s="55"/>
      <c r="D95" s="55"/>
      <c r="E95" s="55"/>
      <c r="F95" s="55"/>
      <c r="G95" s="55"/>
      <c r="H95" s="55"/>
    </row>
    <row r="96" spans="1:8" ht="12.75">
      <c r="A96" s="55" t="s">
        <v>309</v>
      </c>
      <c r="B96" s="55"/>
      <c r="C96" s="55"/>
      <c r="D96" s="55"/>
      <c r="E96" s="55"/>
      <c r="F96" s="55"/>
      <c r="G96" s="55"/>
      <c r="H96" s="55"/>
    </row>
    <row r="97" spans="1:8" ht="12.75">
      <c r="A97" s="57" t="s">
        <v>48</v>
      </c>
      <c r="B97" s="57" t="s">
        <v>55</v>
      </c>
      <c r="C97" s="57"/>
      <c r="D97" s="57"/>
      <c r="E97" s="57"/>
      <c r="F97" s="57"/>
      <c r="G97" s="57"/>
      <c r="H97" s="57"/>
    </row>
    <row r="98" spans="1:8" ht="12.75">
      <c r="A98" s="57"/>
      <c r="B98" s="3">
        <v>1</v>
      </c>
      <c r="C98" s="3">
        <v>2</v>
      </c>
      <c r="D98" s="3">
        <v>3</v>
      </c>
      <c r="E98" s="3">
        <v>4</v>
      </c>
      <c r="F98" s="3">
        <v>5</v>
      </c>
      <c r="G98" s="3">
        <v>6</v>
      </c>
      <c r="H98" s="3">
        <v>7</v>
      </c>
    </row>
    <row r="99" spans="1:8" ht="12.75" hidden="1">
      <c r="A99" s="3"/>
      <c r="B99" s="20">
        <f>B112</f>
        <v>1.0330948878437558</v>
      </c>
      <c r="C99" s="20">
        <f aca="true" t="shared" si="24" ref="C99:H99">C112</f>
        <v>1.3769046843903752</v>
      </c>
      <c r="D99" s="20">
        <f t="shared" si="24"/>
        <v>3.597265856155934</v>
      </c>
      <c r="E99" s="20">
        <f t="shared" si="24"/>
        <v>5.504957205105116</v>
      </c>
      <c r="F99" s="20">
        <f t="shared" si="24"/>
        <v>7.147854254798646</v>
      </c>
      <c r="G99" s="20">
        <f t="shared" si="24"/>
        <v>8.473105400294449</v>
      </c>
      <c r="H99" s="20">
        <f t="shared" si="24"/>
        <v>6.802008580324055</v>
      </c>
    </row>
    <row r="100" spans="1:8" ht="12.75">
      <c r="A100" s="6" t="s">
        <v>76</v>
      </c>
      <c r="B100" s="18">
        <f>'Tables 9-14'!B83</f>
        <v>0.17</v>
      </c>
      <c r="C100" s="18">
        <f>'Tables 9-14'!C83</f>
        <v>0.17</v>
      </c>
      <c r="D100" s="18">
        <f>'Tables 9-14'!D83</f>
        <v>1.4249999999999998</v>
      </c>
      <c r="E100" s="18">
        <f>'Tables 9-14'!E83</f>
        <v>2.275</v>
      </c>
      <c r="F100" s="18">
        <f>'Tables 9-14'!F83</f>
        <v>2.705</v>
      </c>
      <c r="G100" s="18">
        <f>'Tables 9-14'!G83</f>
        <v>2.58</v>
      </c>
      <c r="H100" s="18">
        <f>'Tables 9-14'!H83</f>
        <v>2.92</v>
      </c>
    </row>
    <row r="101" spans="1:8" ht="12.75">
      <c r="A101" s="6" t="s">
        <v>199</v>
      </c>
      <c r="B101" s="41">
        <v>0.05</v>
      </c>
      <c r="C101" s="41">
        <v>0.05</v>
      </c>
      <c r="D101" s="41">
        <v>0.05</v>
      </c>
      <c r="E101" s="41">
        <v>0.05</v>
      </c>
      <c r="F101" s="41">
        <v>0.05</v>
      </c>
      <c r="G101" s="41">
        <v>0.05</v>
      </c>
      <c r="H101" s="41">
        <v>0.05</v>
      </c>
    </row>
    <row r="102" spans="1:8" ht="12.75">
      <c r="A102" s="6" t="s">
        <v>200</v>
      </c>
      <c r="B102" s="18">
        <f aca="true" t="shared" si="25" ref="B102:H102">-B101*B100</f>
        <v>-0.0085</v>
      </c>
      <c r="C102" s="18">
        <f t="shared" si="25"/>
        <v>-0.0085</v>
      </c>
      <c r="D102" s="18">
        <f t="shared" si="25"/>
        <v>-0.07125</v>
      </c>
      <c r="E102" s="18">
        <f t="shared" si="25"/>
        <v>-0.11375</v>
      </c>
      <c r="F102" s="18">
        <f t="shared" si="25"/>
        <v>-0.13525</v>
      </c>
      <c r="G102" s="18">
        <f t="shared" si="25"/>
        <v>-0.129</v>
      </c>
      <c r="H102" s="18">
        <f t="shared" si="25"/>
        <v>-0.146</v>
      </c>
    </row>
    <row r="103" spans="1:8" ht="12.75">
      <c r="A103" s="19" t="s">
        <v>201</v>
      </c>
      <c r="B103" s="20">
        <f aca="true" t="shared" si="26" ref="B103:H103">B100+B102</f>
        <v>0.1615</v>
      </c>
      <c r="C103" s="20">
        <f t="shared" si="26"/>
        <v>0.1615</v>
      </c>
      <c r="D103" s="20">
        <f t="shared" si="26"/>
        <v>1.3537499999999998</v>
      </c>
      <c r="E103" s="20">
        <f t="shared" si="26"/>
        <v>2.16125</v>
      </c>
      <c r="F103" s="20">
        <f t="shared" si="26"/>
        <v>2.56975</v>
      </c>
      <c r="G103" s="20">
        <f t="shared" si="26"/>
        <v>2.451</v>
      </c>
      <c r="H103" s="20">
        <f t="shared" si="26"/>
        <v>2.774</v>
      </c>
    </row>
    <row r="104" spans="1:8" ht="12.75">
      <c r="A104" s="6" t="s">
        <v>77</v>
      </c>
      <c r="B104" s="28">
        <f>'Tables 16&amp;17'!B14</f>
        <v>0</v>
      </c>
      <c r="C104" s="28">
        <f>'Tables 16&amp;17'!C14</f>
        <v>0</v>
      </c>
      <c r="D104" s="28">
        <f>'Tables 16&amp;17'!D14</f>
        <v>0.5413753427969306</v>
      </c>
      <c r="E104" s="28">
        <f>'Tables 16&amp;17'!E14</f>
        <v>0</v>
      </c>
      <c r="F104" s="28">
        <f>'Tables 16&amp;17'!F14</f>
        <v>0</v>
      </c>
      <c r="G104" s="28">
        <f>'Tables 16&amp;17'!G14</f>
        <v>0</v>
      </c>
      <c r="H104" s="28">
        <f>'Tables 16&amp;17'!H14</f>
        <v>0</v>
      </c>
    </row>
    <row r="105" spans="1:8" ht="12.75">
      <c r="A105" s="6" t="s">
        <v>199</v>
      </c>
      <c r="B105" s="41">
        <v>0.16</v>
      </c>
      <c r="C105" s="41">
        <v>0.16</v>
      </c>
      <c r="D105" s="41">
        <v>0.16</v>
      </c>
      <c r="E105" s="41">
        <v>0.16</v>
      </c>
      <c r="F105" s="41">
        <v>0.16</v>
      </c>
      <c r="G105" s="41">
        <v>0.16</v>
      </c>
      <c r="H105" s="41">
        <v>0.16</v>
      </c>
    </row>
    <row r="106" spans="1:8" ht="12.75">
      <c r="A106" s="6" t="s">
        <v>200</v>
      </c>
      <c r="B106" s="18">
        <f aca="true" t="shared" si="27" ref="B106:H106">-B105*B104</f>
        <v>0</v>
      </c>
      <c r="C106" s="18">
        <f t="shared" si="27"/>
        <v>0</v>
      </c>
      <c r="D106" s="18">
        <f t="shared" si="27"/>
        <v>-0.08662005484750888</v>
      </c>
      <c r="E106" s="18">
        <f t="shared" si="27"/>
        <v>0</v>
      </c>
      <c r="F106" s="18">
        <f t="shared" si="27"/>
        <v>0</v>
      </c>
      <c r="G106" s="18">
        <f t="shared" si="27"/>
        <v>0</v>
      </c>
      <c r="H106" s="18">
        <f t="shared" si="27"/>
        <v>0</v>
      </c>
    </row>
    <row r="107" spans="1:8" ht="12.75">
      <c r="A107" s="19" t="s">
        <v>201</v>
      </c>
      <c r="B107" s="20">
        <f aca="true" t="shared" si="28" ref="B107:H107">B104+B106</f>
        <v>0</v>
      </c>
      <c r="C107" s="20">
        <f t="shared" si="28"/>
        <v>0</v>
      </c>
      <c r="D107" s="20">
        <f t="shared" si="28"/>
        <v>0.45475528794942166</v>
      </c>
      <c r="E107" s="20">
        <f t="shared" si="28"/>
        <v>0</v>
      </c>
      <c r="F107" s="20">
        <f t="shared" si="28"/>
        <v>0</v>
      </c>
      <c r="G107" s="20">
        <f t="shared" si="28"/>
        <v>0</v>
      </c>
      <c r="H107" s="20">
        <f t="shared" si="28"/>
        <v>0</v>
      </c>
    </row>
    <row r="108" spans="1:8" ht="12.75">
      <c r="A108" s="6" t="s">
        <v>78</v>
      </c>
      <c r="B108" s="25">
        <f>'Tables 20-25'!B53</f>
        <v>0.8715948878437557</v>
      </c>
      <c r="C108" s="25">
        <f>'Tables 20-25'!C53</f>
        <v>1.2154046843903752</v>
      </c>
      <c r="D108" s="25">
        <f>'Tables 20-25'!D53</f>
        <v>2.243515856155934</v>
      </c>
      <c r="E108" s="25">
        <f>'Tables 20-25'!E53</f>
        <v>3.3437072051051158</v>
      </c>
      <c r="F108" s="25">
        <f>'Tables 20-25'!F53</f>
        <v>4.578104254798646</v>
      </c>
      <c r="G108" s="25">
        <f>'Tables 20-25'!G53</f>
        <v>6.022105400294448</v>
      </c>
      <c r="H108" s="25">
        <f>'Tables 20-25'!H53</f>
        <v>4.028008580324055</v>
      </c>
    </row>
    <row r="109" spans="1:8" ht="12.75">
      <c r="A109" s="6" t="s">
        <v>199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</row>
    <row r="110" spans="1:8" ht="12.75">
      <c r="A110" s="6" t="s">
        <v>200</v>
      </c>
      <c r="B110" s="18">
        <f aca="true" t="shared" si="29" ref="B110:H110">-B109*B108</f>
        <v>0</v>
      </c>
      <c r="C110" s="18">
        <f t="shared" si="29"/>
        <v>0</v>
      </c>
      <c r="D110" s="18">
        <f t="shared" si="29"/>
        <v>0</v>
      </c>
      <c r="E110" s="18">
        <f t="shared" si="29"/>
        <v>0</v>
      </c>
      <c r="F110" s="18">
        <f t="shared" si="29"/>
        <v>0</v>
      </c>
      <c r="G110" s="18">
        <f t="shared" si="29"/>
        <v>0</v>
      </c>
      <c r="H110" s="18">
        <f t="shared" si="29"/>
        <v>0</v>
      </c>
    </row>
    <row r="111" spans="1:8" ht="12.75">
      <c r="A111" s="19" t="s">
        <v>201</v>
      </c>
      <c r="B111" s="20">
        <f aca="true" t="shared" si="30" ref="B111:H111">B108+B110</f>
        <v>0.8715948878437557</v>
      </c>
      <c r="C111" s="20">
        <f t="shared" si="30"/>
        <v>1.2154046843903752</v>
      </c>
      <c r="D111" s="20">
        <f t="shared" si="30"/>
        <v>2.243515856155934</v>
      </c>
      <c r="E111" s="20">
        <f t="shared" si="30"/>
        <v>3.3437072051051158</v>
      </c>
      <c r="F111" s="20">
        <f t="shared" si="30"/>
        <v>4.578104254798646</v>
      </c>
      <c r="G111" s="20">
        <f t="shared" si="30"/>
        <v>6.022105400294448</v>
      </c>
      <c r="H111" s="20">
        <f t="shared" si="30"/>
        <v>4.028008580324055</v>
      </c>
    </row>
    <row r="112" spans="1:8" ht="12.75">
      <c r="A112" s="19" t="s">
        <v>21</v>
      </c>
      <c r="B112" s="20">
        <f aca="true" t="shared" si="31" ref="B112:H112">B103+B111</f>
        <v>1.0330948878437558</v>
      </c>
      <c r="C112" s="20">
        <f t="shared" si="31"/>
        <v>1.3769046843903752</v>
      </c>
      <c r="D112" s="20">
        <f t="shared" si="31"/>
        <v>3.597265856155934</v>
      </c>
      <c r="E112" s="20">
        <f t="shared" si="31"/>
        <v>5.504957205105116</v>
      </c>
      <c r="F112" s="20">
        <f t="shared" si="31"/>
        <v>7.147854254798646</v>
      </c>
      <c r="G112" s="20">
        <f t="shared" si="31"/>
        <v>8.473105400294449</v>
      </c>
      <c r="H112" s="20">
        <f t="shared" si="31"/>
        <v>6.802008580324055</v>
      </c>
    </row>
  </sheetData>
  <sheetProtection/>
  <mergeCells count="22">
    <mergeCell ref="A1:F1"/>
    <mergeCell ref="A2:F2"/>
    <mergeCell ref="A19:H19"/>
    <mergeCell ref="A38:H38"/>
    <mergeCell ref="A57:H57"/>
    <mergeCell ref="A20:H20"/>
    <mergeCell ref="A21:A22"/>
    <mergeCell ref="A40:A41"/>
    <mergeCell ref="B40:H40"/>
    <mergeCell ref="A58:H58"/>
    <mergeCell ref="B21:H21"/>
    <mergeCell ref="A96:H96"/>
    <mergeCell ref="A39:H39"/>
    <mergeCell ref="A76:H76"/>
    <mergeCell ref="A97:A98"/>
    <mergeCell ref="B97:H97"/>
    <mergeCell ref="A59:A60"/>
    <mergeCell ref="B59:H59"/>
    <mergeCell ref="A77:H77"/>
    <mergeCell ref="A78:A79"/>
    <mergeCell ref="B78:H78"/>
    <mergeCell ref="A95:H95"/>
  </mergeCells>
  <conditionalFormatting sqref="B17:F17">
    <cfRule type="cellIs" priority="1" dxfId="0" operator="equal" stopIfTrue="1">
      <formula>"Yes"</formula>
    </cfRule>
  </conditionalFormatting>
  <printOptions horizontalCentered="1"/>
  <pageMargins left="0.75" right="0.75" top="1" bottom="1" header="0.5" footer="0.5"/>
  <pageSetup fitToHeight="99" horizontalDpi="600" verticalDpi="600" orientation="portrait" scale="89" r:id="rId1"/>
  <headerFooter alignWithMargins="0">
    <oddFooter>&amp;CC.1-&amp;P&amp;RApril 2005 Addendum</oddFooter>
  </headerFooter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5.7109375" style="0" bestFit="1" customWidth="1"/>
    <col min="2" max="2" width="8.28125" style="0" customWidth="1"/>
    <col min="3" max="3" width="12.57421875" style="0" bestFit="1" customWidth="1"/>
  </cols>
  <sheetData>
    <row r="1" spans="1:8" ht="12.75">
      <c r="A1" s="55" t="s">
        <v>159</v>
      </c>
      <c r="B1" s="55"/>
      <c r="C1" s="55"/>
      <c r="D1" s="55"/>
      <c r="E1" s="55"/>
      <c r="F1" s="55"/>
      <c r="G1" s="55"/>
      <c r="H1" s="55"/>
    </row>
    <row r="2" spans="1:8" ht="15">
      <c r="A2" s="55" t="s">
        <v>280</v>
      </c>
      <c r="B2" s="55"/>
      <c r="C2" s="55"/>
      <c r="D2" s="55"/>
      <c r="E2" s="55"/>
      <c r="F2" s="55"/>
      <c r="G2" s="55"/>
      <c r="H2" s="55"/>
    </row>
    <row r="3" spans="1:8" ht="12.75">
      <c r="A3" s="57" t="s">
        <v>5</v>
      </c>
      <c r="B3" s="57" t="s">
        <v>6</v>
      </c>
      <c r="C3" s="57" t="s">
        <v>289</v>
      </c>
      <c r="D3" s="1" t="s">
        <v>0</v>
      </c>
      <c r="E3" s="2" t="s">
        <v>1</v>
      </c>
      <c r="F3" s="1" t="s">
        <v>2</v>
      </c>
      <c r="G3" s="2" t="s">
        <v>3</v>
      </c>
      <c r="H3" s="1" t="s">
        <v>4</v>
      </c>
    </row>
    <row r="4" spans="1:8" ht="12.75">
      <c r="A4" s="59"/>
      <c r="B4" s="59"/>
      <c r="C4" s="60"/>
      <c r="D4" s="4" t="s">
        <v>7</v>
      </c>
      <c r="E4" s="5" t="s">
        <v>7</v>
      </c>
      <c r="F4" s="4" t="s">
        <v>7</v>
      </c>
      <c r="G4" s="5" t="s">
        <v>7</v>
      </c>
      <c r="H4" s="4" t="s">
        <v>7</v>
      </c>
    </row>
    <row r="5" spans="1:8" ht="12.75">
      <c r="A5" s="6" t="s">
        <v>14</v>
      </c>
      <c r="B5" s="7" t="s">
        <v>8</v>
      </c>
      <c r="C5" s="7">
        <v>30</v>
      </c>
      <c r="D5" s="8">
        <v>0.313</v>
      </c>
      <c r="E5" s="8">
        <v>0.136</v>
      </c>
      <c r="F5" s="8">
        <v>0.252</v>
      </c>
      <c r="G5" s="8">
        <v>0.055</v>
      </c>
      <c r="H5" s="8">
        <v>0.034</v>
      </c>
    </row>
    <row r="6" spans="1:8" ht="12.75">
      <c r="A6" s="6" t="s">
        <v>11</v>
      </c>
      <c r="B6" s="7" t="s">
        <v>8</v>
      </c>
      <c r="C6" s="7">
        <v>79</v>
      </c>
      <c r="D6" s="8">
        <v>0.408</v>
      </c>
      <c r="E6" s="8">
        <v>0.127</v>
      </c>
      <c r="F6" s="8">
        <v>0.849</v>
      </c>
      <c r="G6" s="8">
        <v>0.112</v>
      </c>
      <c r="H6" s="8">
        <v>0.087</v>
      </c>
    </row>
    <row r="7" spans="1:8" ht="12.75">
      <c r="A7" s="6" t="s">
        <v>10</v>
      </c>
      <c r="B7" s="7" t="s">
        <v>8</v>
      </c>
      <c r="C7" s="7">
        <v>35</v>
      </c>
      <c r="D7" s="8">
        <v>0.321</v>
      </c>
      <c r="E7" s="8">
        <v>0.123</v>
      </c>
      <c r="F7" s="8">
        <v>0.291</v>
      </c>
      <c r="G7" s="8">
        <v>0</v>
      </c>
      <c r="H7" s="8">
        <v>0.037</v>
      </c>
    </row>
    <row r="8" spans="1:8" ht="12.75">
      <c r="A8" s="6" t="s">
        <v>13</v>
      </c>
      <c r="B8" s="7" t="s">
        <v>8</v>
      </c>
      <c r="C8" s="7">
        <v>80</v>
      </c>
      <c r="D8" s="8">
        <v>0.578</v>
      </c>
      <c r="E8" s="8">
        <v>0.165</v>
      </c>
      <c r="F8" s="8">
        <v>1.206</v>
      </c>
      <c r="G8" s="8">
        <v>0.175</v>
      </c>
      <c r="H8" s="8">
        <v>0.111</v>
      </c>
    </row>
    <row r="9" spans="1:8" ht="12.75">
      <c r="A9" s="6" t="s">
        <v>9</v>
      </c>
      <c r="B9" s="7" t="s">
        <v>8</v>
      </c>
      <c r="C9" s="7">
        <v>150</v>
      </c>
      <c r="D9" s="8">
        <v>0.456</v>
      </c>
      <c r="E9" s="8">
        <v>0.108</v>
      </c>
      <c r="F9" s="8">
        <v>1.024</v>
      </c>
      <c r="G9" s="8">
        <v>0.167</v>
      </c>
      <c r="H9" s="8">
        <v>0.065</v>
      </c>
    </row>
    <row r="10" spans="1:8" ht="12.75">
      <c r="A10" s="6" t="s">
        <v>12</v>
      </c>
      <c r="B10" s="7" t="s">
        <v>8</v>
      </c>
      <c r="C10" s="7">
        <v>110</v>
      </c>
      <c r="D10" s="8">
        <v>0.43</v>
      </c>
      <c r="E10" s="8">
        <v>0.119</v>
      </c>
      <c r="F10" s="8">
        <v>0.81</v>
      </c>
      <c r="G10" s="8">
        <v>0.135</v>
      </c>
      <c r="H10" s="8">
        <v>0.085</v>
      </c>
    </row>
    <row r="11" spans="1:8" ht="12.75">
      <c r="A11" s="6" t="s">
        <v>279</v>
      </c>
      <c r="B11" s="7" t="s">
        <v>8</v>
      </c>
      <c r="C11" s="7">
        <v>250</v>
      </c>
      <c r="D11" s="8">
        <v>0.405</v>
      </c>
      <c r="E11" s="8">
        <v>0.117</v>
      </c>
      <c r="F11" s="8">
        <v>1.88</v>
      </c>
      <c r="G11" s="8">
        <v>0.326</v>
      </c>
      <c r="H11" s="8">
        <v>0.062</v>
      </c>
    </row>
    <row r="12" spans="1:8" ht="12.75">
      <c r="A12" s="6" t="s">
        <v>15</v>
      </c>
      <c r="B12" s="7" t="s">
        <v>16</v>
      </c>
      <c r="C12" s="7">
        <v>10</v>
      </c>
      <c r="D12" s="8">
        <v>0</v>
      </c>
      <c r="E12" s="8">
        <v>0</v>
      </c>
      <c r="F12" s="8">
        <v>0.143</v>
      </c>
      <c r="G12" s="8">
        <v>0</v>
      </c>
      <c r="H12" s="8">
        <v>0</v>
      </c>
    </row>
    <row r="13" spans="1:8" ht="12.75">
      <c r="A13" s="10"/>
      <c r="B13" s="11"/>
      <c r="C13" s="11"/>
      <c r="D13" s="12"/>
      <c r="E13" s="12"/>
      <c r="F13" s="12"/>
      <c r="G13" s="12"/>
      <c r="H13" s="12"/>
    </row>
    <row r="14" spans="1:8" ht="12.75">
      <c r="A14" s="51" t="s">
        <v>281</v>
      </c>
      <c r="B14" s="11"/>
      <c r="C14" s="11"/>
      <c r="D14" s="12"/>
      <c r="E14" s="12"/>
      <c r="F14" s="12"/>
      <c r="G14" s="12"/>
      <c r="H14" s="12"/>
    </row>
    <row r="15" spans="1:8" ht="12.75">
      <c r="A15" s="50" t="s">
        <v>282</v>
      </c>
      <c r="B15" s="11"/>
      <c r="C15" s="11"/>
      <c r="D15" s="12"/>
      <c r="E15" s="12"/>
      <c r="F15" s="12"/>
      <c r="G15" s="12"/>
      <c r="H15" s="12"/>
    </row>
    <row r="16" spans="1:8" ht="12.75">
      <c r="A16" s="50" t="s">
        <v>283</v>
      </c>
      <c r="B16" s="11"/>
      <c r="C16" s="11"/>
      <c r="D16" s="12"/>
      <c r="E16" s="12"/>
      <c r="F16" s="12"/>
      <c r="G16" s="12"/>
      <c r="H16" s="12"/>
    </row>
    <row r="17" spans="1:8" ht="12.75">
      <c r="A17" s="50" t="s">
        <v>284</v>
      </c>
      <c r="B17" s="11"/>
      <c r="C17" s="11"/>
      <c r="D17" s="12"/>
      <c r="E17" s="12"/>
      <c r="F17" s="12"/>
      <c r="G17" s="12"/>
      <c r="H17" s="12"/>
    </row>
    <row r="18" spans="1:8" ht="12.75">
      <c r="A18" s="52" t="s">
        <v>285</v>
      </c>
      <c r="B18" s="11"/>
      <c r="C18" s="11"/>
      <c r="D18" s="12"/>
      <c r="E18" s="12"/>
      <c r="F18" s="12"/>
      <c r="G18" s="12"/>
      <c r="H18" s="12"/>
    </row>
    <row r="19" spans="1:8" ht="12.75">
      <c r="A19" s="52" t="s">
        <v>286</v>
      </c>
      <c r="B19" s="11"/>
      <c r="C19" s="11"/>
      <c r="D19" s="12"/>
      <c r="E19" s="12"/>
      <c r="F19" s="12"/>
      <c r="G19" s="12"/>
      <c r="H19" s="12"/>
    </row>
    <row r="20" spans="1:8" ht="12.75">
      <c r="A20" s="52" t="s">
        <v>290</v>
      </c>
      <c r="B20" s="11"/>
      <c r="C20" s="11"/>
      <c r="D20" s="12"/>
      <c r="E20" s="12"/>
      <c r="F20" s="12"/>
      <c r="G20" s="12"/>
      <c r="H20" s="12"/>
    </row>
    <row r="21" spans="1:8" ht="12.75">
      <c r="A21" s="52" t="s">
        <v>291</v>
      </c>
      <c r="B21" s="11"/>
      <c r="C21" s="11"/>
      <c r="D21" s="12"/>
      <c r="E21" s="12"/>
      <c r="F21" s="12"/>
      <c r="G21" s="12"/>
      <c r="H21" s="12"/>
    </row>
    <row r="22" spans="1:8" ht="12.75">
      <c r="A22" s="52" t="s">
        <v>292</v>
      </c>
      <c r="B22" s="11"/>
      <c r="C22" s="11"/>
      <c r="D22" s="12"/>
      <c r="E22" s="12"/>
      <c r="F22" s="12"/>
      <c r="G22" s="12"/>
      <c r="H22" s="12"/>
    </row>
    <row r="23" spans="1:8" ht="12.75">
      <c r="A23" s="52" t="s">
        <v>293</v>
      </c>
      <c r="B23" s="11"/>
      <c r="C23" s="11"/>
      <c r="D23" s="12"/>
      <c r="E23" s="12"/>
      <c r="F23" s="12"/>
      <c r="G23" s="12"/>
      <c r="H23" s="12"/>
    </row>
    <row r="24" spans="1:8" ht="12.75">
      <c r="A24" s="14" t="s">
        <v>287</v>
      </c>
      <c r="B24" s="11"/>
      <c r="C24" s="11"/>
      <c r="D24" s="12"/>
      <c r="E24" s="12"/>
      <c r="F24" s="12"/>
      <c r="G24" s="12"/>
      <c r="H24" s="12"/>
    </row>
    <row r="25" spans="1:8" ht="12.75">
      <c r="A25" s="13" t="s">
        <v>288</v>
      </c>
      <c r="B25" s="11"/>
      <c r="C25" s="11"/>
      <c r="D25" s="12"/>
      <c r="E25" s="12"/>
      <c r="F25" s="12"/>
      <c r="G25" s="12"/>
      <c r="H25" s="12"/>
    </row>
  </sheetData>
  <sheetProtection/>
  <mergeCells count="5">
    <mergeCell ref="A2:H2"/>
    <mergeCell ref="A1:H1"/>
    <mergeCell ref="A3:A4"/>
    <mergeCell ref="B3:B4"/>
    <mergeCell ref="C3:C4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&amp;CC.1-&amp;P&amp;RApril 2005 Addendum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5.7109375" style="0" bestFit="1" customWidth="1"/>
  </cols>
  <sheetData>
    <row r="1" spans="1:9" ht="12.75">
      <c r="A1" s="55" t="s">
        <v>160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8" t="s">
        <v>177</v>
      </c>
      <c r="B2" s="58"/>
      <c r="C2" s="58"/>
      <c r="D2" s="58"/>
      <c r="E2" s="58"/>
      <c r="F2" s="58"/>
      <c r="G2" s="58"/>
      <c r="H2" s="58"/>
      <c r="I2" s="58"/>
    </row>
    <row r="3" spans="1:9" ht="15">
      <c r="A3" s="57" t="s">
        <v>5</v>
      </c>
      <c r="B3" s="61" t="s">
        <v>17</v>
      </c>
      <c r="C3" s="57" t="s">
        <v>18</v>
      </c>
      <c r="D3" s="57"/>
      <c r="E3" s="57"/>
      <c r="F3" s="57"/>
      <c r="G3" s="57"/>
      <c r="H3" s="57"/>
      <c r="I3" s="57"/>
    </row>
    <row r="4" spans="1:9" ht="12.75">
      <c r="A4" s="59"/>
      <c r="B4" s="59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</row>
    <row r="5" spans="1:16" ht="12.75">
      <c r="A5" s="6" t="s">
        <v>14</v>
      </c>
      <c r="B5" s="7">
        <v>10</v>
      </c>
      <c r="C5" s="7">
        <v>0.5</v>
      </c>
      <c r="D5" s="7">
        <v>0.5</v>
      </c>
      <c r="E5" s="7"/>
      <c r="F5" s="7"/>
      <c r="G5" s="7">
        <v>0.5</v>
      </c>
      <c r="H5" s="7">
        <v>1</v>
      </c>
      <c r="I5" s="7">
        <v>2</v>
      </c>
      <c r="J5" s="32"/>
      <c r="K5" s="32"/>
      <c r="L5" s="32"/>
      <c r="M5" s="32"/>
      <c r="N5" s="32"/>
      <c r="O5" s="32"/>
      <c r="P5" s="32"/>
    </row>
    <row r="6" spans="1:16" ht="12.75">
      <c r="A6" s="6" t="s">
        <v>11</v>
      </c>
      <c r="B6" s="7">
        <v>10</v>
      </c>
      <c r="C6" s="7"/>
      <c r="D6" s="7"/>
      <c r="E6" s="7">
        <v>1</v>
      </c>
      <c r="F6" s="7">
        <v>1</v>
      </c>
      <c r="G6" s="7"/>
      <c r="H6" s="7"/>
      <c r="I6" s="7"/>
      <c r="J6" s="32"/>
      <c r="K6" s="32"/>
      <c r="L6" s="32"/>
      <c r="M6" s="32"/>
      <c r="N6" s="32"/>
      <c r="O6" s="32"/>
      <c r="P6" s="32"/>
    </row>
    <row r="7" spans="1:16" ht="12.75">
      <c r="A7" s="6" t="s">
        <v>10</v>
      </c>
      <c r="B7" s="7">
        <v>10</v>
      </c>
      <c r="C7" s="7"/>
      <c r="D7" s="7"/>
      <c r="E7" s="7"/>
      <c r="F7" s="7"/>
      <c r="G7" s="7">
        <v>2</v>
      </c>
      <c r="H7" s="7">
        <v>2</v>
      </c>
      <c r="I7" s="7">
        <v>2</v>
      </c>
      <c r="J7" s="32"/>
      <c r="K7" s="32"/>
      <c r="L7" s="32"/>
      <c r="M7" s="32"/>
      <c r="N7" s="32"/>
      <c r="O7" s="32"/>
      <c r="P7" s="32"/>
    </row>
    <row r="8" spans="1:16" ht="12.75">
      <c r="A8" s="6" t="s">
        <v>13</v>
      </c>
      <c r="B8" s="7">
        <v>10</v>
      </c>
      <c r="C8" s="7"/>
      <c r="D8" s="7"/>
      <c r="E8" s="7">
        <v>0.5</v>
      </c>
      <c r="F8" s="7">
        <v>0.5</v>
      </c>
      <c r="G8" s="7"/>
      <c r="H8" s="7"/>
      <c r="I8" s="7"/>
      <c r="J8" s="32"/>
      <c r="K8" s="32"/>
      <c r="L8" s="32"/>
      <c r="M8" s="32"/>
      <c r="N8" s="32"/>
      <c r="O8" s="32"/>
      <c r="P8" s="32"/>
    </row>
    <row r="9" spans="1:16" ht="12.75">
      <c r="A9" s="6" t="s">
        <v>9</v>
      </c>
      <c r="B9" s="7">
        <v>10</v>
      </c>
      <c r="C9" s="7"/>
      <c r="D9" s="7"/>
      <c r="E9" s="7"/>
      <c r="F9" s="7"/>
      <c r="G9" s="7">
        <v>0.5</v>
      </c>
      <c r="H9" s="7">
        <v>1</v>
      </c>
      <c r="I9" s="7">
        <v>1</v>
      </c>
      <c r="J9" s="32"/>
      <c r="K9" s="32"/>
      <c r="L9" s="32"/>
      <c r="M9" s="32"/>
      <c r="N9" s="32"/>
      <c r="O9" s="32"/>
      <c r="P9" s="32"/>
    </row>
    <row r="10" spans="1:16" ht="12.75">
      <c r="A10" s="6" t="s">
        <v>12</v>
      </c>
      <c r="B10" s="7">
        <v>10</v>
      </c>
      <c r="C10" s="7"/>
      <c r="D10" s="7"/>
      <c r="E10" s="7"/>
      <c r="F10" s="7">
        <v>1</v>
      </c>
      <c r="G10" s="7">
        <v>1</v>
      </c>
      <c r="H10" s="7">
        <v>1</v>
      </c>
      <c r="I10" s="7">
        <v>1</v>
      </c>
      <c r="J10" s="32"/>
      <c r="K10" s="32"/>
      <c r="L10" s="32"/>
      <c r="M10" s="32"/>
      <c r="N10" s="32"/>
      <c r="O10" s="32"/>
      <c r="P10" s="32"/>
    </row>
    <row r="11" spans="1:16" ht="12.75">
      <c r="A11" s="6" t="s">
        <v>279</v>
      </c>
      <c r="B11" s="7">
        <v>10</v>
      </c>
      <c r="C11" s="7"/>
      <c r="D11" s="7"/>
      <c r="E11" s="7"/>
      <c r="F11" s="7"/>
      <c r="G11" s="7">
        <v>1</v>
      </c>
      <c r="H11" s="7"/>
      <c r="I11" s="7"/>
      <c r="J11" s="32"/>
      <c r="K11" s="32"/>
      <c r="L11" s="32"/>
      <c r="M11" s="32"/>
      <c r="N11" s="32"/>
      <c r="O11" s="32"/>
      <c r="P11" s="32"/>
    </row>
    <row r="12" spans="1:16" ht="12.75">
      <c r="A12" s="6" t="s">
        <v>15</v>
      </c>
      <c r="B12" s="7">
        <v>10</v>
      </c>
      <c r="C12" s="7"/>
      <c r="D12" s="7"/>
      <c r="E12" s="7">
        <v>0.5</v>
      </c>
      <c r="F12" s="7"/>
      <c r="G12" s="7"/>
      <c r="H12" s="7"/>
      <c r="I12" s="7"/>
      <c r="J12" s="32"/>
      <c r="K12" s="32"/>
      <c r="L12" s="32"/>
      <c r="M12" s="32"/>
      <c r="N12" s="32"/>
      <c r="O12" s="32"/>
      <c r="P12" s="32"/>
    </row>
    <row r="13" ht="12.75">
      <c r="A13" s="16" t="s">
        <v>19</v>
      </c>
    </row>
    <row r="15" spans="1:9" ht="12.75">
      <c r="A15" s="55" t="s">
        <v>161</v>
      </c>
      <c r="B15" s="55"/>
      <c r="C15" s="55"/>
      <c r="D15" s="55"/>
      <c r="E15" s="55"/>
      <c r="F15" s="55"/>
      <c r="G15" s="55"/>
      <c r="H15" s="55"/>
      <c r="I15" s="29"/>
    </row>
    <row r="16" spans="1:8" ht="12.75">
      <c r="A16" s="58" t="s">
        <v>310</v>
      </c>
      <c r="B16" s="58"/>
      <c r="C16" s="58"/>
      <c r="D16" s="58"/>
      <c r="E16" s="58"/>
      <c r="F16" s="58"/>
      <c r="G16" s="58"/>
      <c r="H16" s="58"/>
    </row>
    <row r="17" spans="1:8" ht="12.75">
      <c r="A17" s="57" t="s">
        <v>5</v>
      </c>
      <c r="B17" s="57" t="s">
        <v>20</v>
      </c>
      <c r="C17" s="57"/>
      <c r="D17" s="57"/>
      <c r="E17" s="57"/>
      <c r="F17" s="57"/>
      <c r="G17" s="57"/>
      <c r="H17" s="57"/>
    </row>
    <row r="18" spans="1:8" ht="12.75">
      <c r="A18" s="59"/>
      <c r="B18" s="3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</row>
    <row r="19" spans="1:8" ht="12.75">
      <c r="A19" s="6" t="str">
        <f aca="true" t="shared" si="0" ref="A19:A26">A5</f>
        <v>Manlift</v>
      </c>
      <c r="B19" s="18">
        <f>$B5*C5*VLOOKUP($A19,'Table 8'!$A$5:$H$13,4,FALSE)</f>
        <v>1.565</v>
      </c>
      <c r="C19" s="18">
        <f>$B5*D5*VLOOKUP($A19,'Table 8'!$A$5:$H$13,4,FALSE)</f>
        <v>1.565</v>
      </c>
      <c r="D19" s="18">
        <f>$B5*E5*VLOOKUP($A19,'Table 8'!$A$5:$H$13,4,FALSE)</f>
        <v>0</v>
      </c>
      <c r="E19" s="18">
        <f>$B5*F5*VLOOKUP($A19,'Table 8'!$A$5:$H$13,4,FALSE)</f>
        <v>0</v>
      </c>
      <c r="F19" s="18">
        <f>$B5*G5*VLOOKUP($A19,'Table 8'!$A$5:$H$13,4,FALSE)</f>
        <v>1.565</v>
      </c>
      <c r="G19" s="18">
        <f>$B5*H5*VLOOKUP($A19,'Table 8'!$A$5:$H$13,4,FALSE)</f>
        <v>3.13</v>
      </c>
      <c r="H19" s="18">
        <f>$B5*I5*VLOOKUP($A19,'Table 8'!$A$5:$H$13,4,FALSE)</f>
        <v>6.26</v>
      </c>
    </row>
    <row r="20" spans="1:8" ht="12.75">
      <c r="A20" s="6" t="str">
        <f t="shared" si="0"/>
        <v>Backhoe</v>
      </c>
      <c r="B20" s="18">
        <f>$B6*C6*VLOOKUP($A20,'Table 8'!$A$5:$H$13,4,FALSE)</f>
        <v>0</v>
      </c>
      <c r="C20" s="18">
        <f>$B6*D6*VLOOKUP($A20,'Table 8'!$A$5:$H$13,4,FALSE)</f>
        <v>0</v>
      </c>
      <c r="D20" s="18">
        <f>$B6*E6*VLOOKUP($A20,'Table 8'!$A$5:$H$13,4,FALSE)</f>
        <v>4.08</v>
      </c>
      <c r="E20" s="18">
        <f>$B6*F6*VLOOKUP($A20,'Table 8'!$A$5:$H$13,4,FALSE)</f>
        <v>4.08</v>
      </c>
      <c r="F20" s="18">
        <f>$B6*G6*VLOOKUP($A20,'Table 8'!$A$5:$H$13,4,FALSE)</f>
        <v>0</v>
      </c>
      <c r="G20" s="18">
        <f>$B6*H6*VLOOKUP($A20,'Table 8'!$A$5:$H$13,4,FALSE)</f>
        <v>0</v>
      </c>
      <c r="H20" s="18">
        <f>$B6*I6*VLOOKUP($A20,'Table 8'!$A$5:$H$13,4,FALSE)</f>
        <v>0</v>
      </c>
    </row>
    <row r="21" spans="1:8" ht="12.75">
      <c r="A21" s="6" t="str">
        <f t="shared" si="0"/>
        <v>Welding Machine</v>
      </c>
      <c r="B21" s="18">
        <f>$B7*C7*VLOOKUP($A21,'Table 8'!$A$5:$H$13,4,FALSE)</f>
        <v>0</v>
      </c>
      <c r="C21" s="18">
        <f>$B7*D7*VLOOKUP($A21,'Table 8'!$A$5:$H$13,4,FALSE)</f>
        <v>0</v>
      </c>
      <c r="D21" s="18">
        <f>$B7*E7*VLOOKUP($A21,'Table 8'!$A$5:$H$13,4,FALSE)</f>
        <v>0</v>
      </c>
      <c r="E21" s="18">
        <f>$B7*F7*VLOOKUP($A21,'Table 8'!$A$5:$H$13,4,FALSE)</f>
        <v>0</v>
      </c>
      <c r="F21" s="18">
        <f>$B7*G7*VLOOKUP($A21,'Table 8'!$A$5:$H$13,4,FALSE)</f>
        <v>6.42</v>
      </c>
      <c r="G21" s="18">
        <f>$B7*H7*VLOOKUP($A21,'Table 8'!$A$5:$H$13,4,FALSE)</f>
        <v>6.42</v>
      </c>
      <c r="H21" s="18">
        <f>$B7*I7*VLOOKUP($A21,'Table 8'!$A$5:$H$13,4,FALSE)</f>
        <v>6.42</v>
      </c>
    </row>
    <row r="22" spans="1:8" ht="12.75">
      <c r="A22" s="6" t="str">
        <f t="shared" si="0"/>
        <v>Air Compressor</v>
      </c>
      <c r="B22" s="18">
        <f>$B8*C8*VLOOKUP($A22,'Table 8'!$A$5:$H$13,4,FALSE)</f>
        <v>0</v>
      </c>
      <c r="C22" s="18">
        <f>$B8*D8*VLOOKUP($A22,'Table 8'!$A$5:$H$13,4,FALSE)</f>
        <v>0</v>
      </c>
      <c r="D22" s="18">
        <f>$B8*E8*VLOOKUP($A22,'Table 8'!$A$5:$H$13,4,FALSE)</f>
        <v>2.8899999999999997</v>
      </c>
      <c r="E22" s="18">
        <f>$B8*F8*VLOOKUP($A22,'Table 8'!$A$5:$H$13,4,FALSE)</f>
        <v>2.8899999999999997</v>
      </c>
      <c r="F22" s="18">
        <f>$B8*G8*VLOOKUP($A22,'Table 8'!$A$5:$H$13,4,FALSE)</f>
        <v>0</v>
      </c>
      <c r="G22" s="18">
        <f>$B8*H8*VLOOKUP($A22,'Table 8'!$A$5:$H$13,4,FALSE)</f>
        <v>0</v>
      </c>
      <c r="H22" s="18">
        <f>$B8*I8*VLOOKUP($A22,'Table 8'!$A$5:$H$13,4,FALSE)</f>
        <v>0</v>
      </c>
    </row>
    <row r="23" spans="1:8" ht="12.75">
      <c r="A23" s="6" t="str">
        <f t="shared" si="0"/>
        <v>Crane</v>
      </c>
      <c r="B23" s="18">
        <f>$B9*C9*VLOOKUP($A23,'Table 8'!$A$5:$H$13,4,FALSE)</f>
        <v>0</v>
      </c>
      <c r="C23" s="18">
        <f>$B9*D9*VLOOKUP($A23,'Table 8'!$A$5:$H$13,4,FALSE)</f>
        <v>0</v>
      </c>
      <c r="D23" s="18">
        <f>$B9*E9*VLOOKUP($A23,'Table 8'!$A$5:$H$13,4,FALSE)</f>
        <v>0</v>
      </c>
      <c r="E23" s="18">
        <f>$B9*F9*VLOOKUP($A23,'Table 8'!$A$5:$H$13,4,FALSE)</f>
        <v>0</v>
      </c>
      <c r="F23" s="18">
        <f>$B9*G9*VLOOKUP($A23,'Table 8'!$A$5:$H$13,4,FALSE)</f>
        <v>2.2800000000000002</v>
      </c>
      <c r="G23" s="18">
        <f>$B9*H9*VLOOKUP($A23,'Table 8'!$A$5:$H$13,4,FALSE)</f>
        <v>4.5600000000000005</v>
      </c>
      <c r="H23" s="18">
        <f>$B9*I9*VLOOKUP($A23,'Table 8'!$A$5:$H$13,4,FALSE)</f>
        <v>4.5600000000000005</v>
      </c>
    </row>
    <row r="24" spans="1:8" ht="12.75">
      <c r="A24" s="6" t="str">
        <f t="shared" si="0"/>
        <v>Forklift</v>
      </c>
      <c r="B24" s="18">
        <f>$B10*C10*VLOOKUP($A24,'Table 8'!$A$5:$H$13,4,FALSE)</f>
        <v>0</v>
      </c>
      <c r="C24" s="18">
        <f>$B10*D10*VLOOKUP($A24,'Table 8'!$A$5:$H$13,4,FALSE)</f>
        <v>0</v>
      </c>
      <c r="D24" s="18">
        <f>$B10*E10*VLOOKUP($A24,'Table 8'!$A$5:$H$13,4,FALSE)</f>
        <v>0</v>
      </c>
      <c r="E24" s="18">
        <f>$B10*F10*VLOOKUP($A24,'Table 8'!$A$5:$H$13,4,FALSE)</f>
        <v>4.3</v>
      </c>
      <c r="F24" s="18">
        <f>$B10*G10*VLOOKUP($A24,'Table 8'!$A$5:$H$13,4,FALSE)</f>
        <v>4.3</v>
      </c>
      <c r="G24" s="18">
        <f>$B10*H10*VLOOKUP($A24,'Table 8'!$A$5:$H$13,4,FALSE)</f>
        <v>4.3</v>
      </c>
      <c r="H24" s="18">
        <f>$B10*I10*VLOOKUP($A24,'Table 8'!$A$5:$H$13,4,FALSE)</f>
        <v>4.3</v>
      </c>
    </row>
    <row r="25" spans="1:8" ht="12.75">
      <c r="A25" s="6" t="str">
        <f t="shared" si="0"/>
        <v>65 Ton Crane</v>
      </c>
      <c r="B25" s="18">
        <f>$B11*C11*VLOOKUP($A25,'Table 8'!$A$5:$H$13,4,FALSE)</f>
        <v>0</v>
      </c>
      <c r="C25" s="18">
        <f>$B11*D11*VLOOKUP($A25,'Table 8'!$A$5:$H$13,4,FALSE)</f>
        <v>0</v>
      </c>
      <c r="D25" s="18">
        <f>$B11*E11*VLOOKUP($A25,'Table 8'!$A$5:$H$13,4,FALSE)</f>
        <v>0</v>
      </c>
      <c r="E25" s="18">
        <f>$B11*F11*VLOOKUP($A25,'Table 8'!$A$5:$H$13,4,FALSE)</f>
        <v>0</v>
      </c>
      <c r="F25" s="18">
        <f>$B11*G11*VLOOKUP($A25,'Table 8'!$A$5:$H$13,4,FALSE)</f>
        <v>4.050000000000001</v>
      </c>
      <c r="G25" s="18">
        <f>$B11*H11*VLOOKUP($A25,'Table 8'!$A$5:$H$13,4,FALSE)</f>
        <v>0</v>
      </c>
      <c r="H25" s="18">
        <f>$B11*I11*VLOOKUP($A25,'Table 8'!$A$5:$H$13,4,FALSE)</f>
        <v>0</v>
      </c>
    </row>
    <row r="26" spans="1:8" ht="12.75">
      <c r="A26" s="6" t="str">
        <f t="shared" si="0"/>
        <v>Concrete Saw</v>
      </c>
      <c r="B26" s="18">
        <f>$B12*C12*VLOOKUP($A26,'Table 8'!$A$5:$H$13,4,FALSE)</f>
        <v>0</v>
      </c>
      <c r="C26" s="18">
        <f>$B12*D12*VLOOKUP($A26,'Table 8'!$A$5:$H$13,4,FALSE)</f>
        <v>0</v>
      </c>
      <c r="D26" s="18">
        <f>$B12*E12*VLOOKUP($A26,'Table 8'!$A$5:$H$13,4,FALSE)</f>
        <v>0</v>
      </c>
      <c r="E26" s="18">
        <f>$B12*F12*VLOOKUP($A26,'Table 8'!$A$5:$H$13,4,FALSE)</f>
        <v>0</v>
      </c>
      <c r="F26" s="18">
        <f>$B12*G12*VLOOKUP($A26,'Table 8'!$A$5:$H$13,4,FALSE)</f>
        <v>0</v>
      </c>
      <c r="G26" s="18">
        <f>$B12*H12*VLOOKUP($A26,'Table 8'!$A$5:$H$13,4,FALSE)</f>
        <v>0</v>
      </c>
      <c r="H26" s="18">
        <f>$B12*I12*VLOOKUP($A26,'Table 8'!$A$5:$H$13,4,FALSE)</f>
        <v>0</v>
      </c>
    </row>
    <row r="27" spans="1:8" ht="12.75">
      <c r="A27" s="19" t="s">
        <v>21</v>
      </c>
      <c r="B27" s="20">
        <f aca="true" t="shared" si="1" ref="B27:H27">SUM(B19:B26)</f>
        <v>1.565</v>
      </c>
      <c r="C27" s="20">
        <f t="shared" si="1"/>
        <v>1.565</v>
      </c>
      <c r="D27" s="20">
        <f t="shared" si="1"/>
        <v>6.97</v>
      </c>
      <c r="E27" s="20">
        <f t="shared" si="1"/>
        <v>11.27</v>
      </c>
      <c r="F27" s="20">
        <f t="shared" si="1"/>
        <v>18.615000000000002</v>
      </c>
      <c r="G27" s="20">
        <f t="shared" si="1"/>
        <v>18.41</v>
      </c>
      <c r="H27" s="20">
        <f t="shared" si="1"/>
        <v>21.540000000000003</v>
      </c>
    </row>
    <row r="29" spans="1:9" ht="12.75">
      <c r="A29" s="55" t="s">
        <v>162</v>
      </c>
      <c r="B29" s="55"/>
      <c r="C29" s="55"/>
      <c r="D29" s="55"/>
      <c r="E29" s="55"/>
      <c r="F29" s="55"/>
      <c r="G29" s="55"/>
      <c r="H29" s="55"/>
      <c r="I29" s="29"/>
    </row>
    <row r="30" spans="1:8" ht="12.75">
      <c r="A30" s="58" t="s">
        <v>311</v>
      </c>
      <c r="B30" s="58"/>
      <c r="C30" s="58"/>
      <c r="D30" s="58"/>
      <c r="E30" s="58"/>
      <c r="F30" s="58"/>
      <c r="G30" s="58"/>
      <c r="H30" s="58"/>
    </row>
    <row r="31" spans="1:8" ht="12.75">
      <c r="A31" s="57" t="s">
        <v>5</v>
      </c>
      <c r="B31" s="57" t="s">
        <v>20</v>
      </c>
      <c r="C31" s="57"/>
      <c r="D31" s="57"/>
      <c r="E31" s="57"/>
      <c r="F31" s="57"/>
      <c r="G31" s="57"/>
      <c r="H31" s="57"/>
    </row>
    <row r="32" spans="1:8" ht="12.75">
      <c r="A32" s="59"/>
      <c r="B32" s="3">
        <v>1</v>
      </c>
      <c r="C32" s="3">
        <v>2</v>
      </c>
      <c r="D32" s="3">
        <v>3</v>
      </c>
      <c r="E32" s="3">
        <v>4</v>
      </c>
      <c r="F32" s="3">
        <v>5</v>
      </c>
      <c r="G32" s="3">
        <v>6</v>
      </c>
      <c r="H32" s="3">
        <v>7</v>
      </c>
    </row>
    <row r="33" spans="1:8" ht="12.75">
      <c r="A33" s="6" t="str">
        <f aca="true" t="shared" si="2" ref="A33:A40">A5</f>
        <v>Manlift</v>
      </c>
      <c r="B33" s="18">
        <f>$B5*C5*VLOOKUP($A33,'Table 8'!$A$5:$H$13,5,FALSE)</f>
        <v>0.68</v>
      </c>
      <c r="C33" s="18">
        <f>$B5*D5*VLOOKUP($A33,'Table 8'!$A$5:$H$13,5,FALSE)</f>
        <v>0.68</v>
      </c>
      <c r="D33" s="18">
        <f>$B5*E5*VLOOKUP($A33,'Table 8'!$A$5:$H$13,5,FALSE)</f>
        <v>0</v>
      </c>
      <c r="E33" s="18">
        <f>$B5*F5*VLOOKUP($A33,'Table 8'!$A$5:$H$13,5,FALSE)</f>
        <v>0</v>
      </c>
      <c r="F33" s="18">
        <f>$B5*G5*VLOOKUP($A33,'Table 8'!$A$5:$H$13,5,FALSE)</f>
        <v>0.68</v>
      </c>
      <c r="G33" s="18">
        <f>$B5*H5*VLOOKUP($A33,'Table 8'!$A$5:$H$13,5,FALSE)</f>
        <v>1.36</v>
      </c>
      <c r="H33" s="18">
        <f>$B5*I5*VLOOKUP($A33,'Table 8'!$A$5:$H$13,5,FALSE)</f>
        <v>2.72</v>
      </c>
    </row>
    <row r="34" spans="1:8" ht="12.75">
      <c r="A34" s="6" t="str">
        <f t="shared" si="2"/>
        <v>Backhoe</v>
      </c>
      <c r="B34" s="18">
        <f>$B6*C6*VLOOKUP($A34,'Table 8'!$A$5:$H$13,5,FALSE)</f>
        <v>0</v>
      </c>
      <c r="C34" s="18">
        <f>$B6*D6*VLOOKUP($A34,'Table 8'!$A$5:$H$13,5,FALSE)</f>
        <v>0</v>
      </c>
      <c r="D34" s="18">
        <f>$B6*E6*VLOOKUP($A34,'Table 8'!$A$5:$H$13,5,FALSE)</f>
        <v>1.27</v>
      </c>
      <c r="E34" s="18">
        <f>$B6*F6*VLOOKUP($A34,'Table 8'!$A$5:$H$13,5,FALSE)</f>
        <v>1.27</v>
      </c>
      <c r="F34" s="18">
        <f>$B6*G6*VLOOKUP($A34,'Table 8'!$A$5:$H$13,5,FALSE)</f>
        <v>0</v>
      </c>
      <c r="G34" s="18">
        <f>$B6*H6*VLOOKUP($A34,'Table 8'!$A$5:$H$13,5,FALSE)</f>
        <v>0</v>
      </c>
      <c r="H34" s="18">
        <f>$B6*I6*VLOOKUP($A34,'Table 8'!$A$5:$H$13,5,FALSE)</f>
        <v>0</v>
      </c>
    </row>
    <row r="35" spans="1:8" ht="12.75">
      <c r="A35" s="6" t="str">
        <f t="shared" si="2"/>
        <v>Welding Machine</v>
      </c>
      <c r="B35" s="18">
        <f>$B7*C7*VLOOKUP($A35,'Table 8'!$A$5:$H$13,5,FALSE)</f>
        <v>0</v>
      </c>
      <c r="C35" s="18">
        <f>$B7*D7*VLOOKUP($A35,'Table 8'!$A$5:$H$13,5,FALSE)</f>
        <v>0</v>
      </c>
      <c r="D35" s="18">
        <f>$B7*E7*VLOOKUP($A35,'Table 8'!$A$5:$H$13,5,FALSE)</f>
        <v>0</v>
      </c>
      <c r="E35" s="18">
        <f>$B7*F7*VLOOKUP($A35,'Table 8'!$A$5:$H$13,5,FALSE)</f>
        <v>0</v>
      </c>
      <c r="F35" s="18">
        <f>$B7*G7*VLOOKUP($A35,'Table 8'!$A$5:$H$13,5,FALSE)</f>
        <v>2.46</v>
      </c>
      <c r="G35" s="18">
        <f>$B7*H7*VLOOKUP($A35,'Table 8'!$A$5:$H$13,5,FALSE)</f>
        <v>2.46</v>
      </c>
      <c r="H35" s="18">
        <f>$B7*I7*VLOOKUP($A35,'Table 8'!$A$5:$H$13,5,FALSE)</f>
        <v>2.46</v>
      </c>
    </row>
    <row r="36" spans="1:8" ht="12.75">
      <c r="A36" s="6" t="str">
        <f t="shared" si="2"/>
        <v>Air Compressor</v>
      </c>
      <c r="B36" s="18">
        <f>$B8*C8*VLOOKUP($A36,'Table 8'!$A$5:$H$13,5,FALSE)</f>
        <v>0</v>
      </c>
      <c r="C36" s="18">
        <f>$B8*D8*VLOOKUP($A36,'Table 8'!$A$5:$H$13,5,FALSE)</f>
        <v>0</v>
      </c>
      <c r="D36" s="18">
        <f>$B8*E8*VLOOKUP($A36,'Table 8'!$A$5:$H$13,5,FALSE)</f>
        <v>0.8250000000000001</v>
      </c>
      <c r="E36" s="18">
        <f>$B8*F8*VLOOKUP($A36,'Table 8'!$A$5:$H$13,5,FALSE)</f>
        <v>0.8250000000000001</v>
      </c>
      <c r="F36" s="18">
        <f>$B8*G8*VLOOKUP($A36,'Table 8'!$A$5:$H$13,5,FALSE)</f>
        <v>0</v>
      </c>
      <c r="G36" s="18">
        <f>$B8*H8*VLOOKUP($A36,'Table 8'!$A$5:$H$13,5,FALSE)</f>
        <v>0</v>
      </c>
      <c r="H36" s="18">
        <f>$B8*I8*VLOOKUP($A36,'Table 8'!$A$5:$H$13,5,FALSE)</f>
        <v>0</v>
      </c>
    </row>
    <row r="37" spans="1:8" ht="12.75">
      <c r="A37" s="6" t="str">
        <f t="shared" si="2"/>
        <v>Crane</v>
      </c>
      <c r="B37" s="18">
        <f>$B9*C9*VLOOKUP($A37,'Table 8'!$A$5:$H$13,5,FALSE)</f>
        <v>0</v>
      </c>
      <c r="C37" s="18">
        <f>$B9*D9*VLOOKUP($A37,'Table 8'!$A$5:$H$13,5,FALSE)</f>
        <v>0</v>
      </c>
      <c r="D37" s="18">
        <f>$B9*E9*VLOOKUP($A37,'Table 8'!$A$5:$H$13,5,FALSE)</f>
        <v>0</v>
      </c>
      <c r="E37" s="18">
        <f>$B9*F9*VLOOKUP($A37,'Table 8'!$A$5:$H$13,5,FALSE)</f>
        <v>0</v>
      </c>
      <c r="F37" s="18">
        <f>$B9*G9*VLOOKUP($A37,'Table 8'!$A$5:$H$13,5,FALSE)</f>
        <v>0.54</v>
      </c>
      <c r="G37" s="18">
        <f>$B9*H9*VLOOKUP($A37,'Table 8'!$A$5:$H$13,5,FALSE)</f>
        <v>1.08</v>
      </c>
      <c r="H37" s="18">
        <f>$B9*I9*VLOOKUP($A37,'Table 8'!$A$5:$H$13,5,FALSE)</f>
        <v>1.08</v>
      </c>
    </row>
    <row r="38" spans="1:8" ht="12.75">
      <c r="A38" s="6" t="str">
        <f t="shared" si="2"/>
        <v>Forklift</v>
      </c>
      <c r="B38" s="18">
        <f>$B10*C10*VLOOKUP($A38,'Table 8'!$A$5:$H$13,5,FALSE)</f>
        <v>0</v>
      </c>
      <c r="C38" s="18">
        <f>$B10*D10*VLOOKUP($A38,'Table 8'!$A$5:$H$13,5,FALSE)</f>
        <v>0</v>
      </c>
      <c r="D38" s="18">
        <f>$B10*E10*VLOOKUP($A38,'Table 8'!$A$5:$H$13,5,FALSE)</f>
        <v>0</v>
      </c>
      <c r="E38" s="18">
        <f>$B10*F10*VLOOKUP($A38,'Table 8'!$A$5:$H$13,5,FALSE)</f>
        <v>1.19</v>
      </c>
      <c r="F38" s="18">
        <f>$B10*G10*VLOOKUP($A38,'Table 8'!$A$5:$H$13,5,FALSE)</f>
        <v>1.19</v>
      </c>
      <c r="G38" s="18">
        <f>$B10*H10*VLOOKUP($A38,'Table 8'!$A$5:$H$13,5,FALSE)</f>
        <v>1.19</v>
      </c>
      <c r="H38" s="18">
        <f>$B10*I10*VLOOKUP($A38,'Table 8'!$A$5:$H$13,5,FALSE)</f>
        <v>1.19</v>
      </c>
    </row>
    <row r="39" spans="1:8" ht="12.75">
      <c r="A39" s="6" t="str">
        <f t="shared" si="2"/>
        <v>65 Ton Crane</v>
      </c>
      <c r="B39" s="18">
        <f>$B11*C11*VLOOKUP($A39,'Table 8'!$A$5:$H$13,5,FALSE)</f>
        <v>0</v>
      </c>
      <c r="C39" s="18">
        <f>$B11*D11*VLOOKUP($A39,'Table 8'!$A$5:$H$13,5,FALSE)</f>
        <v>0</v>
      </c>
      <c r="D39" s="18">
        <f>$B11*E11*VLOOKUP($A39,'Table 8'!$A$5:$H$13,5,FALSE)</f>
        <v>0</v>
      </c>
      <c r="E39" s="18">
        <f>$B11*F11*VLOOKUP($A39,'Table 8'!$A$5:$H$13,5,FALSE)</f>
        <v>0</v>
      </c>
      <c r="F39" s="18">
        <f>$B11*G11*VLOOKUP($A39,'Table 8'!$A$5:$H$13,5,FALSE)</f>
        <v>1.1700000000000002</v>
      </c>
      <c r="G39" s="18">
        <f>$B11*H11*VLOOKUP($A39,'Table 8'!$A$5:$H$13,5,FALSE)</f>
        <v>0</v>
      </c>
      <c r="H39" s="18">
        <f>$B11*I11*VLOOKUP($A39,'Table 8'!$A$5:$H$13,5,FALSE)</f>
        <v>0</v>
      </c>
    </row>
    <row r="40" spans="1:8" ht="12.75">
      <c r="A40" s="6" t="str">
        <f t="shared" si="2"/>
        <v>Concrete Saw</v>
      </c>
      <c r="B40" s="18">
        <f>$B12*C12*VLOOKUP($A40,'Table 8'!$A$5:$H$13,5,FALSE)</f>
        <v>0</v>
      </c>
      <c r="C40" s="18">
        <f>$B12*D12*VLOOKUP($A40,'Table 8'!$A$5:$H$13,5,FALSE)</f>
        <v>0</v>
      </c>
      <c r="D40" s="18">
        <f>$B12*E12*VLOOKUP($A40,'Table 8'!$A$5:$H$13,5,FALSE)</f>
        <v>0</v>
      </c>
      <c r="E40" s="18">
        <f>$B12*F12*VLOOKUP($A40,'Table 8'!$A$5:$H$13,5,FALSE)</f>
        <v>0</v>
      </c>
      <c r="F40" s="18">
        <f>$B12*G12*VLOOKUP($A40,'Table 8'!$A$5:$H$13,5,FALSE)</f>
        <v>0</v>
      </c>
      <c r="G40" s="18">
        <f>$B12*H12*VLOOKUP($A40,'Table 8'!$A$5:$H$13,5,FALSE)</f>
        <v>0</v>
      </c>
      <c r="H40" s="18">
        <f>$B12*I12*VLOOKUP($A40,'Table 8'!$A$5:$H$13,5,FALSE)</f>
        <v>0</v>
      </c>
    </row>
    <row r="41" spans="1:8" ht="12.75">
      <c r="A41" s="19" t="s">
        <v>21</v>
      </c>
      <c r="B41" s="20">
        <f aca="true" t="shared" si="3" ref="B41:H41">SUM(B33:B40)</f>
        <v>0.68</v>
      </c>
      <c r="C41" s="20">
        <f t="shared" si="3"/>
        <v>0.68</v>
      </c>
      <c r="D41" s="20">
        <f t="shared" si="3"/>
        <v>2.095</v>
      </c>
      <c r="E41" s="20">
        <f t="shared" si="3"/>
        <v>3.285</v>
      </c>
      <c r="F41" s="20">
        <f t="shared" si="3"/>
        <v>6.04</v>
      </c>
      <c r="G41" s="20">
        <f t="shared" si="3"/>
        <v>6.09</v>
      </c>
      <c r="H41" s="20">
        <f t="shared" si="3"/>
        <v>7.449999999999999</v>
      </c>
    </row>
    <row r="43" spans="1:9" ht="12.75">
      <c r="A43" s="55" t="s">
        <v>163</v>
      </c>
      <c r="B43" s="55"/>
      <c r="C43" s="55"/>
      <c r="D43" s="55"/>
      <c r="E43" s="55"/>
      <c r="F43" s="55"/>
      <c r="G43" s="55"/>
      <c r="H43" s="55"/>
      <c r="I43" s="29"/>
    </row>
    <row r="44" spans="1:8" ht="12.75">
      <c r="A44" s="58" t="s">
        <v>312</v>
      </c>
      <c r="B44" s="58"/>
      <c r="C44" s="58"/>
      <c r="D44" s="58"/>
      <c r="E44" s="58"/>
      <c r="F44" s="58"/>
      <c r="G44" s="58"/>
      <c r="H44" s="58"/>
    </row>
    <row r="45" spans="1:8" ht="12.75">
      <c r="A45" s="57" t="s">
        <v>5</v>
      </c>
      <c r="B45" s="57" t="s">
        <v>20</v>
      </c>
      <c r="C45" s="57"/>
      <c r="D45" s="57"/>
      <c r="E45" s="57"/>
      <c r="F45" s="57"/>
      <c r="G45" s="57"/>
      <c r="H45" s="57"/>
    </row>
    <row r="46" spans="1:8" ht="12.75">
      <c r="A46" s="59"/>
      <c r="B46" s="3">
        <v>1</v>
      </c>
      <c r="C46" s="3">
        <v>2</v>
      </c>
      <c r="D46" s="3">
        <v>3</v>
      </c>
      <c r="E46" s="3">
        <v>4</v>
      </c>
      <c r="F46" s="3">
        <v>5</v>
      </c>
      <c r="G46" s="3">
        <v>6</v>
      </c>
      <c r="H46" s="3">
        <v>7</v>
      </c>
    </row>
    <row r="47" spans="1:8" ht="12.75">
      <c r="A47" s="6" t="str">
        <f aca="true" t="shared" si="4" ref="A47:A54">A5</f>
        <v>Manlift</v>
      </c>
      <c r="B47" s="18">
        <f>$B5*C5*VLOOKUP($A47,'Table 8'!$A$5:$H$13,6,FALSE)</f>
        <v>1.26</v>
      </c>
      <c r="C47" s="18">
        <f>$B5*D5*VLOOKUP($A47,'Table 8'!$A$5:$H$13,6,FALSE)</f>
        <v>1.26</v>
      </c>
      <c r="D47" s="18">
        <f>$B5*E5*VLOOKUP($A47,'Table 8'!$A$5:$H$13,6,FALSE)</f>
        <v>0</v>
      </c>
      <c r="E47" s="18">
        <f>$B5*F5*VLOOKUP($A47,'Table 8'!$A$5:$H$13,6,FALSE)</f>
        <v>0</v>
      </c>
      <c r="F47" s="18">
        <f>$B5*G5*VLOOKUP($A47,'Table 8'!$A$5:$H$13,6,FALSE)</f>
        <v>1.26</v>
      </c>
      <c r="G47" s="18">
        <f>$B5*H5*VLOOKUP($A47,'Table 8'!$A$5:$H$13,6,FALSE)</f>
        <v>2.52</v>
      </c>
      <c r="H47" s="18">
        <f>$B5*I5*VLOOKUP($A47,'Table 8'!$A$5:$H$13,6,FALSE)</f>
        <v>5.04</v>
      </c>
    </row>
    <row r="48" spans="1:8" ht="12.75">
      <c r="A48" s="6" t="str">
        <f t="shared" si="4"/>
        <v>Backhoe</v>
      </c>
      <c r="B48" s="18">
        <f>$B6*C6*VLOOKUP($A48,'Table 8'!$A$5:$H$13,6,FALSE)</f>
        <v>0</v>
      </c>
      <c r="C48" s="18">
        <f>$B6*D6*VLOOKUP($A48,'Table 8'!$A$5:$H$13,6,FALSE)</f>
        <v>0</v>
      </c>
      <c r="D48" s="18">
        <f>$B6*E6*VLOOKUP($A48,'Table 8'!$A$5:$H$13,6,FALSE)</f>
        <v>8.49</v>
      </c>
      <c r="E48" s="18">
        <f>$B6*F6*VLOOKUP($A48,'Table 8'!$A$5:$H$13,6,FALSE)</f>
        <v>8.49</v>
      </c>
      <c r="F48" s="18">
        <f>$B6*G6*VLOOKUP($A48,'Table 8'!$A$5:$H$13,6,FALSE)</f>
        <v>0</v>
      </c>
      <c r="G48" s="18">
        <f>$B6*H6*VLOOKUP($A48,'Table 8'!$A$5:$H$13,6,FALSE)</f>
        <v>0</v>
      </c>
      <c r="H48" s="18">
        <f>$B6*I6*VLOOKUP($A48,'Table 8'!$A$5:$H$13,6,FALSE)</f>
        <v>0</v>
      </c>
    </row>
    <row r="49" spans="1:8" ht="12.75">
      <c r="A49" s="6" t="str">
        <f t="shared" si="4"/>
        <v>Welding Machine</v>
      </c>
      <c r="B49" s="18">
        <f>$B7*C7*VLOOKUP($A49,'Table 8'!$A$5:$H$13,6,FALSE)</f>
        <v>0</v>
      </c>
      <c r="C49" s="18">
        <f>$B7*D7*VLOOKUP($A49,'Table 8'!$A$5:$H$13,6,FALSE)</f>
        <v>0</v>
      </c>
      <c r="D49" s="18">
        <f>$B7*E7*VLOOKUP($A49,'Table 8'!$A$5:$H$13,6,FALSE)</f>
        <v>0</v>
      </c>
      <c r="E49" s="18">
        <f>$B7*F7*VLOOKUP($A49,'Table 8'!$A$5:$H$13,6,FALSE)</f>
        <v>0</v>
      </c>
      <c r="F49" s="18">
        <f>$B7*G7*VLOOKUP($A49,'Table 8'!$A$5:$H$13,6,FALSE)</f>
        <v>5.819999999999999</v>
      </c>
      <c r="G49" s="18">
        <f>$B7*H7*VLOOKUP($A49,'Table 8'!$A$5:$H$13,6,FALSE)</f>
        <v>5.819999999999999</v>
      </c>
      <c r="H49" s="18">
        <f>$B7*I7*VLOOKUP($A49,'Table 8'!$A$5:$H$13,6,FALSE)</f>
        <v>5.819999999999999</v>
      </c>
    </row>
    <row r="50" spans="1:8" ht="12.75">
      <c r="A50" s="6" t="str">
        <f t="shared" si="4"/>
        <v>Air Compressor</v>
      </c>
      <c r="B50" s="18">
        <f>$B8*C8*VLOOKUP($A50,'Table 8'!$A$5:$H$13,6,FALSE)</f>
        <v>0</v>
      </c>
      <c r="C50" s="18">
        <f>$B8*D8*VLOOKUP($A50,'Table 8'!$A$5:$H$13,6,FALSE)</f>
        <v>0</v>
      </c>
      <c r="D50" s="18">
        <f>$B8*E8*VLOOKUP($A50,'Table 8'!$A$5:$H$13,6,FALSE)</f>
        <v>6.029999999999999</v>
      </c>
      <c r="E50" s="18">
        <f>$B8*F8*VLOOKUP($A50,'Table 8'!$A$5:$H$13,6,FALSE)</f>
        <v>6.029999999999999</v>
      </c>
      <c r="F50" s="18">
        <f>$B8*G8*VLOOKUP($A50,'Table 8'!$A$5:$H$13,6,FALSE)</f>
        <v>0</v>
      </c>
      <c r="G50" s="18">
        <f>$B8*H8*VLOOKUP($A50,'Table 8'!$A$5:$H$13,6,FALSE)</f>
        <v>0</v>
      </c>
      <c r="H50" s="18">
        <f>$B8*I8*VLOOKUP($A50,'Table 8'!$A$5:$H$13,6,FALSE)</f>
        <v>0</v>
      </c>
    </row>
    <row r="51" spans="1:8" ht="12.75">
      <c r="A51" s="6" t="str">
        <f t="shared" si="4"/>
        <v>Crane</v>
      </c>
      <c r="B51" s="18">
        <f>$B9*C9*VLOOKUP($A51,'Table 8'!$A$5:$H$13,6,FALSE)</f>
        <v>0</v>
      </c>
      <c r="C51" s="18">
        <f>$B9*D9*VLOOKUP($A51,'Table 8'!$A$5:$H$13,6,FALSE)</f>
        <v>0</v>
      </c>
      <c r="D51" s="18">
        <f>$B9*E9*VLOOKUP($A51,'Table 8'!$A$5:$H$13,6,FALSE)</f>
        <v>0</v>
      </c>
      <c r="E51" s="18">
        <f>$B9*F9*VLOOKUP($A51,'Table 8'!$A$5:$H$13,6,FALSE)</f>
        <v>0</v>
      </c>
      <c r="F51" s="18">
        <f>$B9*G9*VLOOKUP($A51,'Table 8'!$A$5:$H$13,6,FALSE)</f>
        <v>5.12</v>
      </c>
      <c r="G51" s="18">
        <f>$B9*H9*VLOOKUP($A51,'Table 8'!$A$5:$H$13,6,FALSE)</f>
        <v>10.24</v>
      </c>
      <c r="H51" s="18">
        <f>$B9*I9*VLOOKUP($A51,'Table 8'!$A$5:$H$13,6,FALSE)</f>
        <v>10.24</v>
      </c>
    </row>
    <row r="52" spans="1:8" ht="12.75">
      <c r="A52" s="6" t="str">
        <f t="shared" si="4"/>
        <v>Forklift</v>
      </c>
      <c r="B52" s="18">
        <f>$B10*C10*VLOOKUP($A52,'Table 8'!$A$5:$H$13,6,FALSE)</f>
        <v>0</v>
      </c>
      <c r="C52" s="18">
        <f>$B10*D10*VLOOKUP($A52,'Table 8'!$A$5:$H$13,6,FALSE)</f>
        <v>0</v>
      </c>
      <c r="D52" s="18">
        <f>$B10*E10*VLOOKUP($A52,'Table 8'!$A$5:$H$13,6,FALSE)</f>
        <v>0</v>
      </c>
      <c r="E52" s="18">
        <f>$B10*F10*VLOOKUP($A52,'Table 8'!$A$5:$H$13,6,FALSE)</f>
        <v>8.100000000000001</v>
      </c>
      <c r="F52" s="18">
        <f>$B10*G10*VLOOKUP($A52,'Table 8'!$A$5:$H$13,6,FALSE)</f>
        <v>8.100000000000001</v>
      </c>
      <c r="G52" s="18">
        <f>$B10*H10*VLOOKUP($A52,'Table 8'!$A$5:$H$13,6,FALSE)</f>
        <v>8.100000000000001</v>
      </c>
      <c r="H52" s="18">
        <f>$B10*I10*VLOOKUP($A52,'Table 8'!$A$5:$H$13,6,FALSE)</f>
        <v>8.100000000000001</v>
      </c>
    </row>
    <row r="53" spans="1:8" ht="12.75">
      <c r="A53" s="6" t="str">
        <f t="shared" si="4"/>
        <v>65 Ton Crane</v>
      </c>
      <c r="B53" s="18">
        <f>$B11*C11*VLOOKUP($A53,'Table 8'!$A$5:$H$13,6,FALSE)</f>
        <v>0</v>
      </c>
      <c r="C53" s="18">
        <f>$B11*D11*VLOOKUP($A53,'Table 8'!$A$5:$H$13,6,FALSE)</f>
        <v>0</v>
      </c>
      <c r="D53" s="18">
        <f>$B11*E11*VLOOKUP($A53,'Table 8'!$A$5:$H$13,6,FALSE)</f>
        <v>0</v>
      </c>
      <c r="E53" s="18">
        <f>$B11*F11*VLOOKUP($A53,'Table 8'!$A$5:$H$13,6,FALSE)</f>
        <v>0</v>
      </c>
      <c r="F53" s="18">
        <f>$B11*G11*VLOOKUP($A53,'Table 8'!$A$5:$H$13,6,FALSE)</f>
        <v>18.799999999999997</v>
      </c>
      <c r="G53" s="18">
        <f>$B11*H11*VLOOKUP($A53,'Table 8'!$A$5:$H$13,6,FALSE)</f>
        <v>0</v>
      </c>
      <c r="H53" s="18">
        <f>$B11*I11*VLOOKUP($A53,'Table 8'!$A$5:$H$13,6,FALSE)</f>
        <v>0</v>
      </c>
    </row>
    <row r="54" spans="1:8" ht="12.75">
      <c r="A54" s="6" t="str">
        <f t="shared" si="4"/>
        <v>Concrete Saw</v>
      </c>
      <c r="B54" s="18">
        <f>$B12*C12*VLOOKUP($A54,'Table 8'!$A$5:$H$13,6,FALSE)</f>
        <v>0</v>
      </c>
      <c r="C54" s="18">
        <f>$B12*D12*VLOOKUP($A54,'Table 8'!$A$5:$H$13,6,FALSE)</f>
        <v>0</v>
      </c>
      <c r="D54" s="18">
        <f>$B12*E12*VLOOKUP($A54,'Table 8'!$A$5:$H$13,6,FALSE)</f>
        <v>0.715</v>
      </c>
      <c r="E54" s="18">
        <f>$B12*F12*VLOOKUP($A54,'Table 8'!$A$5:$H$13,6,FALSE)</f>
        <v>0</v>
      </c>
      <c r="F54" s="18">
        <f>$B12*G12*VLOOKUP($A54,'Table 8'!$A$5:$H$13,6,FALSE)</f>
        <v>0</v>
      </c>
      <c r="G54" s="18">
        <f>$B12*H12*VLOOKUP($A54,'Table 8'!$A$5:$H$13,6,FALSE)</f>
        <v>0</v>
      </c>
      <c r="H54" s="18">
        <f>$B12*I12*VLOOKUP($A54,'Table 8'!$A$5:$H$13,6,FALSE)</f>
        <v>0</v>
      </c>
    </row>
    <row r="55" spans="1:8" ht="12.75">
      <c r="A55" s="19" t="s">
        <v>21</v>
      </c>
      <c r="B55" s="20">
        <f aca="true" t="shared" si="5" ref="B55:H55">SUM(B47:B54)</f>
        <v>1.26</v>
      </c>
      <c r="C55" s="20">
        <f t="shared" si="5"/>
        <v>1.26</v>
      </c>
      <c r="D55" s="20">
        <f t="shared" si="5"/>
        <v>15.235</v>
      </c>
      <c r="E55" s="20">
        <f t="shared" si="5"/>
        <v>22.62</v>
      </c>
      <c r="F55" s="20">
        <f t="shared" si="5"/>
        <v>39.099999999999994</v>
      </c>
      <c r="G55" s="20">
        <f t="shared" si="5"/>
        <v>26.68</v>
      </c>
      <c r="H55" s="20">
        <f t="shared" si="5"/>
        <v>29.200000000000003</v>
      </c>
    </row>
    <row r="57" spans="1:8" ht="12.75">
      <c r="A57" s="55" t="s">
        <v>164</v>
      </c>
      <c r="B57" s="55"/>
      <c r="C57" s="55"/>
      <c r="D57" s="55"/>
      <c r="E57" s="55"/>
      <c r="F57" s="55"/>
      <c r="G57" s="55"/>
      <c r="H57" s="55"/>
    </row>
    <row r="58" spans="1:8" ht="12.75">
      <c r="A58" s="58" t="s">
        <v>313</v>
      </c>
      <c r="B58" s="58"/>
      <c r="C58" s="58"/>
      <c r="D58" s="58"/>
      <c r="E58" s="58"/>
      <c r="F58" s="58"/>
      <c r="G58" s="58"/>
      <c r="H58" s="58"/>
    </row>
    <row r="59" spans="1:8" ht="12.75">
      <c r="A59" s="57" t="s">
        <v>5</v>
      </c>
      <c r="B59" s="57" t="s">
        <v>20</v>
      </c>
      <c r="C59" s="57"/>
      <c r="D59" s="57"/>
      <c r="E59" s="57"/>
      <c r="F59" s="57"/>
      <c r="G59" s="57"/>
      <c r="H59" s="57"/>
    </row>
    <row r="60" spans="1:8" ht="12.75">
      <c r="A60" s="59"/>
      <c r="B60" s="3">
        <v>1</v>
      </c>
      <c r="C60" s="3">
        <v>2</v>
      </c>
      <c r="D60" s="3">
        <v>3</v>
      </c>
      <c r="E60" s="3">
        <v>4</v>
      </c>
      <c r="F60" s="3">
        <v>5</v>
      </c>
      <c r="G60" s="3">
        <v>6</v>
      </c>
      <c r="H60" s="3">
        <v>7</v>
      </c>
    </row>
    <row r="61" spans="1:8" ht="12.75">
      <c r="A61" s="6" t="str">
        <f aca="true" t="shared" si="6" ref="A61:A68">A5</f>
        <v>Manlift</v>
      </c>
      <c r="B61" s="18">
        <f>$B5*C5*VLOOKUP($A61,'Table 8'!$A$5:$H$13,7,FALSE)</f>
        <v>0.275</v>
      </c>
      <c r="C61" s="18">
        <f>$B5*D5*VLOOKUP($A61,'Table 8'!$A$5:$H$13,7,FALSE)</f>
        <v>0.275</v>
      </c>
      <c r="D61" s="18">
        <f>$B5*E5*VLOOKUP($A61,'Table 8'!$A$5:$H$13,7,FALSE)</f>
        <v>0</v>
      </c>
      <c r="E61" s="18">
        <f>$B5*F5*VLOOKUP($A61,'Table 8'!$A$5:$H$13,7,FALSE)</f>
        <v>0</v>
      </c>
      <c r="F61" s="18">
        <f>$B5*G5*VLOOKUP($A61,'Table 8'!$A$5:$H$13,7,FALSE)</f>
        <v>0.275</v>
      </c>
      <c r="G61" s="18">
        <f>$B5*H5*VLOOKUP($A61,'Table 8'!$A$5:$H$13,7,FALSE)</f>
        <v>0.55</v>
      </c>
      <c r="H61" s="18">
        <f>$B5*I5*VLOOKUP($A61,'Table 8'!$A$5:$H$13,7,FALSE)</f>
        <v>1.1</v>
      </c>
    </row>
    <row r="62" spans="1:8" ht="12.75">
      <c r="A62" s="6" t="str">
        <f t="shared" si="6"/>
        <v>Backhoe</v>
      </c>
      <c r="B62" s="18">
        <f>$B6*C6*VLOOKUP($A62,'Table 8'!$A$5:$H$13,7,FALSE)</f>
        <v>0</v>
      </c>
      <c r="C62" s="18">
        <f>$B6*D6*VLOOKUP($A62,'Table 8'!$A$5:$H$13,7,FALSE)</f>
        <v>0</v>
      </c>
      <c r="D62" s="18">
        <f>$B6*E6*VLOOKUP($A62,'Table 8'!$A$5:$H$13,7,FALSE)</f>
        <v>1.12</v>
      </c>
      <c r="E62" s="18">
        <f>$B6*F6*VLOOKUP($A62,'Table 8'!$A$5:$H$13,7,FALSE)</f>
        <v>1.12</v>
      </c>
      <c r="F62" s="18">
        <f>$B6*G6*VLOOKUP($A62,'Table 8'!$A$5:$H$13,7,FALSE)</f>
        <v>0</v>
      </c>
      <c r="G62" s="18">
        <f>$B6*H6*VLOOKUP($A62,'Table 8'!$A$5:$H$13,7,FALSE)</f>
        <v>0</v>
      </c>
      <c r="H62" s="18">
        <f>$B6*I6*VLOOKUP($A62,'Table 8'!$A$5:$H$13,7,FALSE)</f>
        <v>0</v>
      </c>
    </row>
    <row r="63" spans="1:8" ht="12.75">
      <c r="A63" s="6" t="str">
        <f t="shared" si="6"/>
        <v>Welding Machine</v>
      </c>
      <c r="B63" s="18">
        <f>$B7*C7*VLOOKUP($A63,'Table 8'!$A$5:$H$13,7,FALSE)</f>
        <v>0</v>
      </c>
      <c r="C63" s="18">
        <f>$B7*D7*VLOOKUP($A63,'Table 8'!$A$5:$H$13,7,FALSE)</f>
        <v>0</v>
      </c>
      <c r="D63" s="18">
        <f>$B7*E7*VLOOKUP($A63,'Table 8'!$A$5:$H$13,7,FALSE)</f>
        <v>0</v>
      </c>
      <c r="E63" s="18">
        <f>$B7*F7*VLOOKUP($A63,'Table 8'!$A$5:$H$13,7,FALSE)</f>
        <v>0</v>
      </c>
      <c r="F63" s="18">
        <f>$B7*G7*VLOOKUP($A63,'Table 8'!$A$5:$H$13,7,FALSE)</f>
        <v>0</v>
      </c>
      <c r="G63" s="18">
        <f>$B7*H7*VLOOKUP($A63,'Table 8'!$A$5:$H$13,7,FALSE)</f>
        <v>0</v>
      </c>
      <c r="H63" s="18">
        <f>$B7*I7*VLOOKUP($A63,'Table 8'!$A$5:$H$13,7,FALSE)</f>
        <v>0</v>
      </c>
    </row>
    <row r="64" spans="1:8" ht="12.75">
      <c r="A64" s="6" t="str">
        <f t="shared" si="6"/>
        <v>Air Compressor</v>
      </c>
      <c r="B64" s="18">
        <f>$B8*C8*VLOOKUP($A64,'Table 8'!$A$5:$H$13,7,FALSE)</f>
        <v>0</v>
      </c>
      <c r="C64" s="18">
        <f>$B8*D8*VLOOKUP($A64,'Table 8'!$A$5:$H$13,7,FALSE)</f>
        <v>0</v>
      </c>
      <c r="D64" s="18">
        <f>$B8*E8*VLOOKUP($A64,'Table 8'!$A$5:$H$13,7,FALSE)</f>
        <v>0.875</v>
      </c>
      <c r="E64" s="18">
        <f>$B8*F8*VLOOKUP($A64,'Table 8'!$A$5:$H$13,7,FALSE)</f>
        <v>0.875</v>
      </c>
      <c r="F64" s="18">
        <f>$B8*G8*VLOOKUP($A64,'Table 8'!$A$5:$H$13,7,FALSE)</f>
        <v>0</v>
      </c>
      <c r="G64" s="18">
        <f>$B8*H8*VLOOKUP($A64,'Table 8'!$A$5:$H$13,7,FALSE)</f>
        <v>0</v>
      </c>
      <c r="H64" s="18">
        <f>$B8*I8*VLOOKUP($A64,'Table 8'!$A$5:$H$13,7,FALSE)</f>
        <v>0</v>
      </c>
    </row>
    <row r="65" spans="1:8" ht="12.75">
      <c r="A65" s="6" t="str">
        <f t="shared" si="6"/>
        <v>Crane</v>
      </c>
      <c r="B65" s="18">
        <f>$B9*C9*VLOOKUP($A65,'Table 8'!$A$5:$H$13,7,FALSE)</f>
        <v>0</v>
      </c>
      <c r="C65" s="18">
        <f>$B9*D9*VLOOKUP($A65,'Table 8'!$A$5:$H$13,7,FALSE)</f>
        <v>0</v>
      </c>
      <c r="D65" s="18">
        <f>$B9*E9*VLOOKUP($A65,'Table 8'!$A$5:$H$13,7,FALSE)</f>
        <v>0</v>
      </c>
      <c r="E65" s="18">
        <f>$B9*F9*VLOOKUP($A65,'Table 8'!$A$5:$H$13,7,FALSE)</f>
        <v>0</v>
      </c>
      <c r="F65" s="18">
        <f>$B9*G9*VLOOKUP($A65,'Table 8'!$A$5:$H$13,7,FALSE)</f>
        <v>0.8350000000000001</v>
      </c>
      <c r="G65" s="18">
        <f>$B9*H9*VLOOKUP($A65,'Table 8'!$A$5:$H$13,7,FALSE)</f>
        <v>1.6700000000000002</v>
      </c>
      <c r="H65" s="18">
        <f>$B9*I9*VLOOKUP($A65,'Table 8'!$A$5:$H$13,7,FALSE)</f>
        <v>1.6700000000000002</v>
      </c>
    </row>
    <row r="66" spans="1:8" ht="12.75">
      <c r="A66" s="6" t="str">
        <f t="shared" si="6"/>
        <v>Forklift</v>
      </c>
      <c r="B66" s="18">
        <f>$B10*C10*VLOOKUP($A66,'Table 8'!$A$5:$H$13,7,FALSE)</f>
        <v>0</v>
      </c>
      <c r="C66" s="18">
        <f>$B10*D10*VLOOKUP($A66,'Table 8'!$A$5:$H$13,7,FALSE)</f>
        <v>0</v>
      </c>
      <c r="D66" s="18">
        <f>$B10*E10*VLOOKUP($A66,'Table 8'!$A$5:$H$13,7,FALSE)</f>
        <v>0</v>
      </c>
      <c r="E66" s="18">
        <f>$B10*F10*VLOOKUP($A66,'Table 8'!$A$5:$H$13,7,FALSE)</f>
        <v>1.35</v>
      </c>
      <c r="F66" s="18">
        <f>$B10*G10*VLOOKUP($A66,'Table 8'!$A$5:$H$13,7,FALSE)</f>
        <v>1.35</v>
      </c>
      <c r="G66" s="18">
        <f>$B10*H10*VLOOKUP($A66,'Table 8'!$A$5:$H$13,7,FALSE)</f>
        <v>1.35</v>
      </c>
      <c r="H66" s="18">
        <f>$B10*I10*VLOOKUP($A66,'Table 8'!$A$5:$H$13,7,FALSE)</f>
        <v>1.35</v>
      </c>
    </row>
    <row r="67" spans="1:8" ht="12.75">
      <c r="A67" s="6" t="str">
        <f t="shared" si="6"/>
        <v>65 Ton Crane</v>
      </c>
      <c r="B67" s="18">
        <f>$B11*C11*VLOOKUP($A67,'Table 8'!$A$5:$H$13,7,FALSE)</f>
        <v>0</v>
      </c>
      <c r="C67" s="18">
        <f>$B11*D11*VLOOKUP($A67,'Table 8'!$A$5:$H$13,7,FALSE)</f>
        <v>0</v>
      </c>
      <c r="D67" s="18">
        <f>$B11*E11*VLOOKUP($A67,'Table 8'!$A$5:$H$13,7,FALSE)</f>
        <v>0</v>
      </c>
      <c r="E67" s="18">
        <f>$B11*F11*VLOOKUP($A67,'Table 8'!$A$5:$H$13,7,FALSE)</f>
        <v>0</v>
      </c>
      <c r="F67" s="18">
        <f>$B11*G11*VLOOKUP($A67,'Table 8'!$A$5:$H$13,7,FALSE)</f>
        <v>3.2600000000000002</v>
      </c>
      <c r="G67" s="18">
        <f>$B11*H11*VLOOKUP($A67,'Table 8'!$A$5:$H$13,7,FALSE)</f>
        <v>0</v>
      </c>
      <c r="H67" s="18">
        <f>$B11*I11*VLOOKUP($A67,'Table 8'!$A$5:$H$13,7,FALSE)</f>
        <v>0</v>
      </c>
    </row>
    <row r="68" spans="1:8" ht="12.75">
      <c r="A68" s="6" t="str">
        <f t="shared" si="6"/>
        <v>Concrete Saw</v>
      </c>
      <c r="B68" s="18">
        <f>$B12*C12*VLOOKUP($A68,'Table 8'!$A$5:$H$13,7,FALSE)</f>
        <v>0</v>
      </c>
      <c r="C68" s="18">
        <f>$B12*D12*VLOOKUP($A68,'Table 8'!$A$5:$H$13,7,FALSE)</f>
        <v>0</v>
      </c>
      <c r="D68" s="18">
        <f>$B12*E12*VLOOKUP($A68,'Table 8'!$A$5:$H$13,7,FALSE)</f>
        <v>0</v>
      </c>
      <c r="E68" s="18">
        <f>$B12*F12*VLOOKUP($A68,'Table 8'!$A$5:$H$13,7,FALSE)</f>
        <v>0</v>
      </c>
      <c r="F68" s="18">
        <f>$B12*G12*VLOOKUP($A68,'Table 8'!$A$5:$H$13,7,FALSE)</f>
        <v>0</v>
      </c>
      <c r="G68" s="18">
        <f>$B12*H12*VLOOKUP($A68,'Table 8'!$A$5:$H$13,7,FALSE)</f>
        <v>0</v>
      </c>
      <c r="H68" s="18">
        <f>$B12*I12*VLOOKUP($A68,'Table 8'!$A$5:$H$13,7,FALSE)</f>
        <v>0</v>
      </c>
    </row>
    <row r="69" spans="1:8" ht="12.75">
      <c r="A69" s="19" t="s">
        <v>21</v>
      </c>
      <c r="B69" s="20">
        <f aca="true" t="shared" si="7" ref="B69:H69">SUM(B61:B68)</f>
        <v>0.275</v>
      </c>
      <c r="C69" s="20">
        <f t="shared" si="7"/>
        <v>0.275</v>
      </c>
      <c r="D69" s="20">
        <f t="shared" si="7"/>
        <v>1.995</v>
      </c>
      <c r="E69" s="20">
        <f t="shared" si="7"/>
        <v>3.345</v>
      </c>
      <c r="F69" s="20">
        <f t="shared" si="7"/>
        <v>5.720000000000001</v>
      </c>
      <c r="G69" s="20">
        <f t="shared" si="7"/>
        <v>3.5700000000000003</v>
      </c>
      <c r="H69" s="20">
        <f t="shared" si="7"/>
        <v>4.120000000000001</v>
      </c>
    </row>
    <row r="71" spans="1:8" ht="12.75">
      <c r="A71" s="55" t="s">
        <v>165</v>
      </c>
      <c r="B71" s="55"/>
      <c r="C71" s="55"/>
      <c r="D71" s="55"/>
      <c r="E71" s="55"/>
      <c r="F71" s="55"/>
      <c r="G71" s="55"/>
      <c r="H71" s="55"/>
    </row>
    <row r="72" spans="1:8" ht="12.75">
      <c r="A72" s="58" t="s">
        <v>314</v>
      </c>
      <c r="B72" s="58"/>
      <c r="C72" s="58"/>
      <c r="D72" s="58"/>
      <c r="E72" s="58"/>
      <c r="F72" s="58"/>
      <c r="G72" s="58"/>
      <c r="H72" s="58"/>
    </row>
    <row r="73" spans="1:8" ht="12.75">
      <c r="A73" s="57" t="s">
        <v>5</v>
      </c>
      <c r="B73" s="57" t="s">
        <v>20</v>
      </c>
      <c r="C73" s="57"/>
      <c r="D73" s="57"/>
      <c r="E73" s="57"/>
      <c r="F73" s="57"/>
      <c r="G73" s="57"/>
      <c r="H73" s="57"/>
    </row>
    <row r="74" spans="1:8" ht="12.75">
      <c r="A74" s="59"/>
      <c r="B74" s="3">
        <v>1</v>
      </c>
      <c r="C74" s="3">
        <v>2</v>
      </c>
      <c r="D74" s="3">
        <v>3</v>
      </c>
      <c r="E74" s="3">
        <v>4</v>
      </c>
      <c r="F74" s="3">
        <v>5</v>
      </c>
      <c r="G74" s="3">
        <v>6</v>
      </c>
      <c r="H74" s="3">
        <v>7</v>
      </c>
    </row>
    <row r="75" spans="1:8" ht="12.75">
      <c r="A75" s="6" t="str">
        <f aca="true" t="shared" si="8" ref="A75:A82">A5</f>
        <v>Manlift</v>
      </c>
      <c r="B75" s="18">
        <f>$B5*C5*VLOOKUP($A75,'Table 8'!$A$5:$H$13,8,FALSE)</f>
        <v>0.17</v>
      </c>
      <c r="C75" s="18">
        <f>$B5*D5*VLOOKUP($A75,'Table 8'!$A$5:$H$13,8,FALSE)</f>
        <v>0.17</v>
      </c>
      <c r="D75" s="18">
        <f>$B5*E5*VLOOKUP($A75,'Table 8'!$A$5:$H$13,8,FALSE)</f>
        <v>0</v>
      </c>
      <c r="E75" s="18">
        <f>$B5*F5*VLOOKUP($A75,'Table 8'!$A$5:$H$13,8,FALSE)</f>
        <v>0</v>
      </c>
      <c r="F75" s="18">
        <f>$B5*G5*VLOOKUP($A75,'Table 8'!$A$5:$H$13,8,FALSE)</f>
        <v>0.17</v>
      </c>
      <c r="G75" s="18">
        <f>$B5*H5*VLOOKUP($A75,'Table 8'!$A$5:$H$13,8,FALSE)</f>
        <v>0.34</v>
      </c>
      <c r="H75" s="18">
        <f>$B5*I5*VLOOKUP($A75,'Table 8'!$A$5:$H$13,8,FALSE)</f>
        <v>0.68</v>
      </c>
    </row>
    <row r="76" spans="1:8" ht="12.75">
      <c r="A76" s="6" t="str">
        <f t="shared" si="8"/>
        <v>Backhoe</v>
      </c>
      <c r="B76" s="18">
        <f>$B6*C6*VLOOKUP($A76,'Table 8'!$A$5:$H$13,8,FALSE)</f>
        <v>0</v>
      </c>
      <c r="C76" s="18">
        <f>$B6*D6*VLOOKUP($A76,'Table 8'!$A$5:$H$13,8,FALSE)</f>
        <v>0</v>
      </c>
      <c r="D76" s="18">
        <f>$B6*E6*VLOOKUP($A76,'Table 8'!$A$5:$H$13,8,FALSE)</f>
        <v>0.8699999999999999</v>
      </c>
      <c r="E76" s="18">
        <f>$B6*F6*VLOOKUP($A76,'Table 8'!$A$5:$H$13,8,FALSE)</f>
        <v>0.8699999999999999</v>
      </c>
      <c r="F76" s="18">
        <f>$B6*G6*VLOOKUP($A76,'Table 8'!$A$5:$H$13,8,FALSE)</f>
        <v>0</v>
      </c>
      <c r="G76" s="18">
        <f>$B6*H6*VLOOKUP($A76,'Table 8'!$A$5:$H$13,8,FALSE)</f>
        <v>0</v>
      </c>
      <c r="H76" s="18">
        <f>$B6*I6*VLOOKUP($A76,'Table 8'!$A$5:$H$13,8,FALSE)</f>
        <v>0</v>
      </c>
    </row>
    <row r="77" spans="1:8" ht="12.75">
      <c r="A77" s="6" t="str">
        <f t="shared" si="8"/>
        <v>Welding Machine</v>
      </c>
      <c r="B77" s="18">
        <f>$B7*C7*VLOOKUP($A77,'Table 8'!$A$5:$H$13,8,FALSE)</f>
        <v>0</v>
      </c>
      <c r="C77" s="18">
        <f>$B7*D7*VLOOKUP($A77,'Table 8'!$A$5:$H$13,8,FALSE)</f>
        <v>0</v>
      </c>
      <c r="D77" s="18">
        <f>$B7*E7*VLOOKUP($A77,'Table 8'!$A$5:$H$13,8,FALSE)</f>
        <v>0</v>
      </c>
      <c r="E77" s="18">
        <f>$B7*F7*VLOOKUP($A77,'Table 8'!$A$5:$H$13,8,FALSE)</f>
        <v>0</v>
      </c>
      <c r="F77" s="18">
        <f>$B7*G7*VLOOKUP($A77,'Table 8'!$A$5:$H$13,8,FALSE)</f>
        <v>0.74</v>
      </c>
      <c r="G77" s="18">
        <f>$B7*H7*VLOOKUP($A77,'Table 8'!$A$5:$H$13,8,FALSE)</f>
        <v>0.74</v>
      </c>
      <c r="H77" s="18">
        <f>$B7*I7*VLOOKUP($A77,'Table 8'!$A$5:$H$13,8,FALSE)</f>
        <v>0.74</v>
      </c>
    </row>
    <row r="78" spans="1:8" ht="12.75">
      <c r="A78" s="6" t="str">
        <f t="shared" si="8"/>
        <v>Air Compressor</v>
      </c>
      <c r="B78" s="18">
        <f>$B8*C8*VLOOKUP($A78,'Table 8'!$A$5:$H$13,8,FALSE)</f>
        <v>0</v>
      </c>
      <c r="C78" s="18">
        <f>$B8*D8*VLOOKUP($A78,'Table 8'!$A$5:$H$13,8,FALSE)</f>
        <v>0</v>
      </c>
      <c r="D78" s="18">
        <f>$B8*E8*VLOOKUP($A78,'Table 8'!$A$5:$H$13,8,FALSE)</f>
        <v>0.555</v>
      </c>
      <c r="E78" s="18">
        <f>$B8*F8*VLOOKUP($A78,'Table 8'!$A$5:$H$13,8,FALSE)</f>
        <v>0.555</v>
      </c>
      <c r="F78" s="18">
        <f>$B8*G8*VLOOKUP($A78,'Table 8'!$A$5:$H$13,8,FALSE)</f>
        <v>0</v>
      </c>
      <c r="G78" s="18">
        <f>$B8*H8*VLOOKUP($A78,'Table 8'!$A$5:$H$13,8,FALSE)</f>
        <v>0</v>
      </c>
      <c r="H78" s="18">
        <f>$B8*I8*VLOOKUP($A78,'Table 8'!$A$5:$H$13,8,FALSE)</f>
        <v>0</v>
      </c>
    </row>
    <row r="79" spans="1:8" ht="12.75">
      <c r="A79" s="6" t="str">
        <f t="shared" si="8"/>
        <v>Crane</v>
      </c>
      <c r="B79" s="18">
        <f>$B9*C9*VLOOKUP($A79,'Table 8'!$A$5:$H$13,8,FALSE)</f>
        <v>0</v>
      </c>
      <c r="C79" s="18">
        <f>$B9*D9*VLOOKUP($A79,'Table 8'!$A$5:$H$13,8,FALSE)</f>
        <v>0</v>
      </c>
      <c r="D79" s="18">
        <f>$B9*E9*VLOOKUP($A79,'Table 8'!$A$5:$H$13,8,FALSE)</f>
        <v>0</v>
      </c>
      <c r="E79" s="18">
        <f>$B9*F9*VLOOKUP($A79,'Table 8'!$A$5:$H$13,8,FALSE)</f>
        <v>0</v>
      </c>
      <c r="F79" s="18">
        <f>$B9*G9*VLOOKUP($A79,'Table 8'!$A$5:$H$13,8,FALSE)</f>
        <v>0.325</v>
      </c>
      <c r="G79" s="18">
        <f>$B9*H9*VLOOKUP($A79,'Table 8'!$A$5:$H$13,8,FALSE)</f>
        <v>0.65</v>
      </c>
      <c r="H79" s="18">
        <f>$B9*I9*VLOOKUP($A79,'Table 8'!$A$5:$H$13,8,FALSE)</f>
        <v>0.65</v>
      </c>
    </row>
    <row r="80" spans="1:8" ht="12.75">
      <c r="A80" s="6" t="str">
        <f t="shared" si="8"/>
        <v>Forklift</v>
      </c>
      <c r="B80" s="18">
        <f>$B10*C10*VLOOKUP($A80,'Table 8'!$A$5:$H$13,8,FALSE)</f>
        <v>0</v>
      </c>
      <c r="C80" s="18">
        <f>$B10*D10*VLOOKUP($A80,'Table 8'!$A$5:$H$13,8,FALSE)</f>
        <v>0</v>
      </c>
      <c r="D80" s="18">
        <f>$B10*E10*VLOOKUP($A80,'Table 8'!$A$5:$H$13,8,FALSE)</f>
        <v>0</v>
      </c>
      <c r="E80" s="18">
        <f>$B10*F10*VLOOKUP($A80,'Table 8'!$A$5:$H$13,8,FALSE)</f>
        <v>0.8500000000000001</v>
      </c>
      <c r="F80" s="18">
        <f>$B10*G10*VLOOKUP($A80,'Table 8'!$A$5:$H$13,8,FALSE)</f>
        <v>0.8500000000000001</v>
      </c>
      <c r="G80" s="18">
        <f>$B10*H10*VLOOKUP($A80,'Table 8'!$A$5:$H$13,8,FALSE)</f>
        <v>0.8500000000000001</v>
      </c>
      <c r="H80" s="18">
        <f>$B10*I10*VLOOKUP($A80,'Table 8'!$A$5:$H$13,8,FALSE)</f>
        <v>0.8500000000000001</v>
      </c>
    </row>
    <row r="81" spans="1:8" ht="12.75">
      <c r="A81" s="6" t="str">
        <f t="shared" si="8"/>
        <v>65 Ton Crane</v>
      </c>
      <c r="B81" s="18">
        <f>$B11*C11*VLOOKUP($A81,'Table 8'!$A$5:$H$13,8,FALSE)</f>
        <v>0</v>
      </c>
      <c r="C81" s="18">
        <f>$B11*D11*VLOOKUP($A81,'Table 8'!$A$5:$H$13,8,FALSE)</f>
        <v>0</v>
      </c>
      <c r="D81" s="18">
        <f>$B11*E11*VLOOKUP($A81,'Table 8'!$A$5:$H$13,8,FALSE)</f>
        <v>0</v>
      </c>
      <c r="E81" s="18">
        <f>$B11*F11*VLOOKUP($A81,'Table 8'!$A$5:$H$13,8,FALSE)</f>
        <v>0</v>
      </c>
      <c r="F81" s="18">
        <f>$B11*G11*VLOOKUP($A81,'Table 8'!$A$5:$H$13,8,FALSE)</f>
        <v>0.62</v>
      </c>
      <c r="G81" s="18">
        <f>$B11*H11*VLOOKUP($A81,'Table 8'!$A$5:$H$13,8,FALSE)</f>
        <v>0</v>
      </c>
      <c r="H81" s="18">
        <f>$B11*I11*VLOOKUP($A81,'Table 8'!$A$5:$H$13,8,FALSE)</f>
        <v>0</v>
      </c>
    </row>
    <row r="82" spans="1:8" ht="12.75">
      <c r="A82" s="6" t="str">
        <f t="shared" si="8"/>
        <v>Concrete Saw</v>
      </c>
      <c r="B82" s="18">
        <f>$B12*C12*VLOOKUP($A82,'Table 8'!$A$5:$H$13,8,FALSE)</f>
        <v>0</v>
      </c>
      <c r="C82" s="18">
        <f>$B12*D12*VLOOKUP($A82,'Table 8'!$A$5:$H$13,8,FALSE)</f>
        <v>0</v>
      </c>
      <c r="D82" s="18">
        <f>$B12*E12*VLOOKUP($A82,'Table 8'!$A$5:$H$13,8,FALSE)</f>
        <v>0</v>
      </c>
      <c r="E82" s="18">
        <f>$B12*F12*VLOOKUP($A82,'Table 8'!$A$5:$H$13,8,FALSE)</f>
        <v>0</v>
      </c>
      <c r="F82" s="18">
        <f>$B12*G12*VLOOKUP($A82,'Table 8'!$A$5:$H$13,8,FALSE)</f>
        <v>0</v>
      </c>
      <c r="G82" s="18">
        <f>$B12*H12*VLOOKUP($A82,'Table 8'!$A$5:$H$13,8,FALSE)</f>
        <v>0</v>
      </c>
      <c r="H82" s="18">
        <f>$B12*I12*VLOOKUP($A82,'Table 8'!$A$5:$H$13,8,FALSE)</f>
        <v>0</v>
      </c>
    </row>
    <row r="83" spans="1:8" ht="12.75">
      <c r="A83" s="19" t="s">
        <v>21</v>
      </c>
      <c r="B83" s="20">
        <f aca="true" t="shared" si="9" ref="B83:H83">SUM(B75:B82)</f>
        <v>0.17</v>
      </c>
      <c r="C83" s="20">
        <f t="shared" si="9"/>
        <v>0.17</v>
      </c>
      <c r="D83" s="20">
        <f t="shared" si="9"/>
        <v>1.4249999999999998</v>
      </c>
      <c r="E83" s="20">
        <f t="shared" si="9"/>
        <v>2.275</v>
      </c>
      <c r="F83" s="20">
        <f t="shared" si="9"/>
        <v>2.705</v>
      </c>
      <c r="G83" s="20">
        <f t="shared" si="9"/>
        <v>2.58</v>
      </c>
      <c r="H83" s="20">
        <f t="shared" si="9"/>
        <v>2.92</v>
      </c>
    </row>
  </sheetData>
  <sheetProtection/>
  <mergeCells count="25">
    <mergeCell ref="A2:I2"/>
    <mergeCell ref="A1:I1"/>
    <mergeCell ref="A15:H15"/>
    <mergeCell ref="A29:H29"/>
    <mergeCell ref="A17:A18"/>
    <mergeCell ref="B17:H17"/>
    <mergeCell ref="A16:H16"/>
    <mergeCell ref="A3:A4"/>
    <mergeCell ref="B3:B4"/>
    <mergeCell ref="C3:I3"/>
    <mergeCell ref="A31:A32"/>
    <mergeCell ref="B31:H31"/>
    <mergeCell ref="A30:H30"/>
    <mergeCell ref="A44:H44"/>
    <mergeCell ref="A43:H43"/>
    <mergeCell ref="A73:A74"/>
    <mergeCell ref="B73:H73"/>
    <mergeCell ref="A45:A46"/>
    <mergeCell ref="B45:H45"/>
    <mergeCell ref="A58:H58"/>
    <mergeCell ref="A59:A60"/>
    <mergeCell ref="B59:H59"/>
    <mergeCell ref="A57:H57"/>
    <mergeCell ref="A71:H71"/>
    <mergeCell ref="A72:H72"/>
  </mergeCells>
  <printOptions horizontalCentered="1"/>
  <pageMargins left="0.75" right="0.75" top="1" bottom="1" header="0.5" footer="0.5"/>
  <pageSetup fitToHeight="99" horizontalDpi="600" verticalDpi="600" orientation="portrait" r:id="rId1"/>
  <headerFooter alignWithMargins="0">
    <oddFooter>&amp;CC.1-&amp;P&amp;RApril 2005 Addendum</oddFooter>
  </headerFooter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1.28125" style="0" customWidth="1"/>
  </cols>
  <sheetData>
    <row r="1" spans="1:12" ht="12.75">
      <c r="A1" s="55" t="s">
        <v>166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4" ht="12.75">
      <c r="A4" s="17" t="s">
        <v>23</v>
      </c>
    </row>
    <row r="6" ht="15">
      <c r="A6" t="s">
        <v>47</v>
      </c>
    </row>
    <row r="9" spans="1:12" ht="12.75">
      <c r="A9" s="3" t="s">
        <v>24</v>
      </c>
      <c r="B9" s="3" t="s">
        <v>25</v>
      </c>
      <c r="C9" s="63" t="s">
        <v>26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ht="12.75">
      <c r="A10" s="7" t="s">
        <v>27</v>
      </c>
      <c r="B10" s="7">
        <v>12</v>
      </c>
      <c r="C10" s="62" t="s">
        <v>28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2.75">
      <c r="A11" s="7" t="s">
        <v>29</v>
      </c>
      <c r="B11" s="7">
        <v>5.9</v>
      </c>
      <c r="C11" s="62" t="s">
        <v>30</v>
      </c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2.75">
      <c r="A12" s="7" t="s">
        <v>31</v>
      </c>
      <c r="B12" s="7">
        <v>2</v>
      </c>
      <c r="C12" s="62" t="s">
        <v>32</v>
      </c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.75">
      <c r="A13" s="7" t="s">
        <v>33</v>
      </c>
      <c r="B13" s="21">
        <v>1.215</v>
      </c>
      <c r="C13" s="62" t="s">
        <v>34</v>
      </c>
      <c r="D13" s="62"/>
      <c r="E13" s="62"/>
      <c r="F13" s="62"/>
      <c r="G13" s="62"/>
      <c r="H13" s="62"/>
      <c r="I13" s="62"/>
      <c r="J13" s="62"/>
      <c r="K13" s="62"/>
      <c r="L13" s="62"/>
    </row>
    <row r="15" spans="1:4" ht="12.75">
      <c r="A15" t="s">
        <v>35</v>
      </c>
      <c r="C15" s="22">
        <f>0.0011*(B10/5)^1.3/(B11/2)^1.4*B12*B13</f>
        <v>0.00183452126640167</v>
      </c>
      <c r="D15" t="s">
        <v>36</v>
      </c>
    </row>
    <row r="16" spans="1:3" ht="12.75">
      <c r="A16" t="s">
        <v>37</v>
      </c>
      <c r="C16" s="23">
        <v>0.5</v>
      </c>
    </row>
    <row r="17" spans="1:4" ht="12.75">
      <c r="A17" t="s">
        <v>38</v>
      </c>
      <c r="C17" s="22">
        <f>C15*(1-C16)</f>
        <v>0.000917260633200835</v>
      </c>
      <c r="D17" t="str">
        <f>D15</f>
        <v>lb/cu. yd</v>
      </c>
    </row>
    <row r="19" ht="12.75">
      <c r="A19" s="17" t="s">
        <v>41</v>
      </c>
    </row>
    <row r="21" ht="12.75">
      <c r="A21" t="s">
        <v>42</v>
      </c>
    </row>
    <row r="22" ht="12.75">
      <c r="A22" t="s">
        <v>43</v>
      </c>
    </row>
    <row r="23" ht="12.75">
      <c r="A23" t="s">
        <v>44</v>
      </c>
    </row>
    <row r="26" spans="1:12" ht="12.75">
      <c r="A26" s="3" t="s">
        <v>24</v>
      </c>
      <c r="B26" s="3" t="s">
        <v>25</v>
      </c>
      <c r="C26" s="63" t="s">
        <v>26</v>
      </c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2.75">
      <c r="A27" s="7" t="s">
        <v>39</v>
      </c>
      <c r="B27" s="7">
        <v>7.5</v>
      </c>
      <c r="C27" s="62" t="s">
        <v>40</v>
      </c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2.75">
      <c r="A28" s="7" t="s">
        <v>45</v>
      </c>
      <c r="B28" s="7">
        <v>100</v>
      </c>
      <c r="C28" s="62" t="s">
        <v>32</v>
      </c>
      <c r="D28" s="62"/>
      <c r="E28" s="62"/>
      <c r="F28" s="62"/>
      <c r="G28" s="62"/>
      <c r="H28" s="62"/>
      <c r="I28" s="62"/>
      <c r="J28" s="62"/>
      <c r="K28" s="62"/>
      <c r="L28" s="62"/>
    </row>
    <row r="30" spans="1:4" ht="12.75">
      <c r="A30" t="s">
        <v>35</v>
      </c>
      <c r="C30" s="24">
        <f>0.85*B27/1.5*365/235*B28/15</f>
        <v>44.00709219858156</v>
      </c>
      <c r="D30" t="s">
        <v>46</v>
      </c>
    </row>
    <row r="31" spans="1:3" ht="12.75">
      <c r="A31" t="s">
        <v>37</v>
      </c>
      <c r="C31" s="23">
        <v>0.5</v>
      </c>
    </row>
    <row r="32" spans="1:4" ht="12.75">
      <c r="A32" t="s">
        <v>38</v>
      </c>
      <c r="C32" s="24">
        <f>C30*(1-C31)</f>
        <v>22.00354609929078</v>
      </c>
      <c r="D32" t="str">
        <f>D30</f>
        <v>lb/day-acre</v>
      </c>
    </row>
  </sheetData>
  <sheetProtection/>
  <mergeCells count="10">
    <mergeCell ref="A1:L1"/>
    <mergeCell ref="A2:L2"/>
    <mergeCell ref="C28:L28"/>
    <mergeCell ref="C26:L26"/>
    <mergeCell ref="C27:L27"/>
    <mergeCell ref="C9:L9"/>
    <mergeCell ref="C10:L10"/>
    <mergeCell ref="C11:L11"/>
    <mergeCell ref="C12:L12"/>
    <mergeCell ref="C13:L13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&amp;CC.1-&amp;P&amp;RApril 2005 Addendum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2.140625" style="0" bestFit="1" customWidth="1"/>
  </cols>
  <sheetData>
    <row r="1" spans="1:9" ht="12.75">
      <c r="A1" s="55" t="s">
        <v>167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8" t="s">
        <v>315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7" t="s">
        <v>48</v>
      </c>
      <c r="B3" s="61" t="s">
        <v>49</v>
      </c>
      <c r="C3" s="57" t="s">
        <v>54</v>
      </c>
      <c r="D3" s="57"/>
      <c r="E3" s="57"/>
      <c r="F3" s="57"/>
      <c r="G3" s="57"/>
      <c r="H3" s="57"/>
      <c r="I3" s="57"/>
    </row>
    <row r="4" spans="1:9" ht="12.75">
      <c r="A4" s="57"/>
      <c r="B4" s="57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</row>
    <row r="5" spans="1:9" ht="12.75">
      <c r="A5" s="6" t="s">
        <v>50</v>
      </c>
      <c r="B5" s="7" t="s">
        <v>51</v>
      </c>
      <c r="C5" s="7"/>
      <c r="D5" s="7"/>
      <c r="E5" s="7">
        <v>425</v>
      </c>
      <c r="F5" s="7"/>
      <c r="G5" s="7"/>
      <c r="H5" s="7"/>
      <c r="I5" s="7"/>
    </row>
    <row r="6" spans="1:9" ht="12.75">
      <c r="A6" s="6" t="s">
        <v>52</v>
      </c>
      <c r="B6" s="7" t="s">
        <v>53</v>
      </c>
      <c r="C6" s="7"/>
      <c r="D6" s="7"/>
      <c r="E6" s="8">
        <f>300/43560</f>
        <v>0.006887052341597796</v>
      </c>
      <c r="F6" s="7"/>
      <c r="G6" s="7"/>
      <c r="H6" s="7"/>
      <c r="I6" s="7"/>
    </row>
    <row r="8" spans="1:8" ht="12.75">
      <c r="A8" s="55" t="s">
        <v>168</v>
      </c>
      <c r="B8" s="55"/>
      <c r="C8" s="55"/>
      <c r="D8" s="55"/>
      <c r="E8" s="55"/>
      <c r="F8" s="55"/>
      <c r="G8" s="55"/>
      <c r="H8" s="55"/>
    </row>
    <row r="9" spans="1:8" ht="12.75">
      <c r="A9" s="58" t="s">
        <v>316</v>
      </c>
      <c r="B9" s="58"/>
      <c r="C9" s="58"/>
      <c r="D9" s="58"/>
      <c r="E9" s="58"/>
      <c r="F9" s="58"/>
      <c r="G9" s="58"/>
      <c r="H9" s="58"/>
    </row>
    <row r="10" spans="1:8" ht="12.75">
      <c r="A10" s="57" t="s">
        <v>48</v>
      </c>
      <c r="B10" s="57" t="s">
        <v>55</v>
      </c>
      <c r="C10" s="57"/>
      <c r="D10" s="57"/>
      <c r="E10" s="57"/>
      <c r="F10" s="57"/>
      <c r="G10" s="57"/>
      <c r="H10" s="57"/>
    </row>
    <row r="11" spans="1:8" ht="12.75">
      <c r="A11" s="57"/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</row>
    <row r="12" spans="1:8" ht="12.75">
      <c r="A12" s="6" t="s">
        <v>50</v>
      </c>
      <c r="B12" s="25">
        <f>C5*'Table 15'!$C$17</f>
        <v>0</v>
      </c>
      <c r="C12" s="25">
        <f>D5*'Table 15'!$C$17</f>
        <v>0</v>
      </c>
      <c r="D12" s="25">
        <f>E5*'Table 15'!$C$17</f>
        <v>0.3898357691103549</v>
      </c>
      <c r="E12" s="25">
        <f>F5*'Table 15'!$C$17</f>
        <v>0</v>
      </c>
      <c r="F12" s="25">
        <f>G5*'Table 15'!$C$17</f>
        <v>0</v>
      </c>
      <c r="G12" s="25">
        <f>H5*'Table 15'!$C$17</f>
        <v>0</v>
      </c>
      <c r="H12" s="25">
        <f>I5*'Table 15'!$C$17</f>
        <v>0</v>
      </c>
    </row>
    <row r="13" spans="1:8" ht="12.75">
      <c r="A13" s="6" t="s">
        <v>52</v>
      </c>
      <c r="B13" s="25">
        <f>C6*'Table 15'!$C$32</f>
        <v>0</v>
      </c>
      <c r="C13" s="25">
        <f>D6*'Table 15'!$C$32</f>
        <v>0</v>
      </c>
      <c r="D13" s="25">
        <f>E6*'Table 15'!$C$32</f>
        <v>0.1515395736865756</v>
      </c>
      <c r="E13" s="25">
        <f>F6*'Table 15'!$C$32</f>
        <v>0</v>
      </c>
      <c r="F13" s="25">
        <f>G6*'Table 15'!$C$32</f>
        <v>0</v>
      </c>
      <c r="G13" s="25">
        <f>H6*'Table 15'!$C$32</f>
        <v>0</v>
      </c>
      <c r="H13" s="25">
        <f>I6*'Table 15'!$C$32</f>
        <v>0</v>
      </c>
    </row>
    <row r="14" spans="1:8" ht="12.75">
      <c r="A14" s="19" t="s">
        <v>21</v>
      </c>
      <c r="B14" s="26">
        <f>SUM(B12:B13)</f>
        <v>0</v>
      </c>
      <c r="C14" s="26">
        <f aca="true" t="shared" si="0" ref="C14:H14">SUM(C12:C13)</f>
        <v>0</v>
      </c>
      <c r="D14" s="26">
        <f t="shared" si="0"/>
        <v>0.5413753427969306</v>
      </c>
      <c r="E14" s="26">
        <f t="shared" si="0"/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</row>
  </sheetData>
  <sheetProtection/>
  <mergeCells count="9">
    <mergeCell ref="A2:I2"/>
    <mergeCell ref="A1:I1"/>
    <mergeCell ref="A9:H9"/>
    <mergeCell ref="A8:H8"/>
    <mergeCell ref="B10:H10"/>
    <mergeCell ref="A10:A11"/>
    <mergeCell ref="C3:I3"/>
    <mergeCell ref="B3:B4"/>
    <mergeCell ref="A3:A4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&amp;CC.1-&amp;P&amp;RApril 2005 Addendum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2.28125" style="0" customWidth="1"/>
    <col min="2" max="4" width="16.421875" style="0" customWidth="1"/>
  </cols>
  <sheetData>
    <row r="1" spans="1:4" ht="12.75">
      <c r="A1" s="55" t="s">
        <v>169</v>
      </c>
      <c r="B1" s="55"/>
      <c r="C1" s="55"/>
      <c r="D1" s="55"/>
    </row>
    <row r="2" spans="1:4" ht="12.75">
      <c r="A2" s="58" t="s">
        <v>61</v>
      </c>
      <c r="B2" s="58"/>
      <c r="C2" s="58"/>
      <c r="D2" s="58"/>
    </row>
    <row r="3" spans="1:4" ht="12.75">
      <c r="A3" s="64" t="s">
        <v>56</v>
      </c>
      <c r="B3" s="64"/>
      <c r="C3" s="64" t="s">
        <v>57</v>
      </c>
      <c r="D3" s="64"/>
    </row>
    <row r="4" spans="1:4" ht="12.75">
      <c r="A4" s="7" t="s">
        <v>0</v>
      </c>
      <c r="B4" s="7">
        <v>0.016559</v>
      </c>
      <c r="C4" s="7" t="s">
        <v>0</v>
      </c>
      <c r="D4" s="7">
        <v>0.02309</v>
      </c>
    </row>
    <row r="5" spans="1:4" ht="12.75">
      <c r="A5" s="7" t="s">
        <v>2</v>
      </c>
      <c r="B5" s="7">
        <v>0.0018</v>
      </c>
      <c r="C5" s="7" t="s">
        <v>2</v>
      </c>
      <c r="D5" s="7">
        <v>0.029607</v>
      </c>
    </row>
    <row r="6" spans="1:4" ht="12.75">
      <c r="A6" s="7" t="s">
        <v>1</v>
      </c>
      <c r="B6" s="7">
        <v>0.001771</v>
      </c>
      <c r="C6" s="7" t="s">
        <v>1</v>
      </c>
      <c r="D6" s="7">
        <v>0.003148</v>
      </c>
    </row>
    <row r="7" spans="1:4" ht="12.75">
      <c r="A7" s="7" t="s">
        <v>3</v>
      </c>
      <c r="B7" s="7">
        <v>1E-05</v>
      </c>
      <c r="C7" s="7" t="s">
        <v>3</v>
      </c>
      <c r="D7" s="7">
        <v>0.000243</v>
      </c>
    </row>
    <row r="8" spans="1:4" ht="12.75">
      <c r="A8" s="7" t="s">
        <v>4</v>
      </c>
      <c r="B8" s="27">
        <v>7.892288861689106E-05</v>
      </c>
      <c r="C8" s="7" t="s">
        <v>4</v>
      </c>
      <c r="D8" s="27">
        <v>0.0005190688459633482</v>
      </c>
    </row>
    <row r="10" ht="12.75">
      <c r="A10" s="9" t="s">
        <v>58</v>
      </c>
    </row>
    <row r="11" ht="12.75">
      <c r="A11" s="9" t="s">
        <v>59</v>
      </c>
    </row>
    <row r="13" ht="12.75">
      <c r="A13" s="9" t="s">
        <v>60</v>
      </c>
    </row>
    <row r="14" ht="12.75">
      <c r="A14" s="9" t="s">
        <v>300</v>
      </c>
    </row>
    <row r="15" ht="12.75">
      <c r="A15" s="9" t="s">
        <v>301</v>
      </c>
    </row>
    <row r="16" spans="1:8" ht="12.75">
      <c r="A16" s="13" t="s">
        <v>304</v>
      </c>
      <c r="B16" s="10"/>
      <c r="C16" s="10"/>
      <c r="D16" s="10"/>
      <c r="E16" s="10"/>
      <c r="F16" s="10"/>
      <c r="G16" s="10"/>
      <c r="H16" s="10"/>
    </row>
    <row r="17" spans="1:8" ht="12.75">
      <c r="A17" s="13" t="s">
        <v>302</v>
      </c>
      <c r="B17" s="10"/>
      <c r="C17" s="10"/>
      <c r="D17" s="10"/>
      <c r="E17" s="10"/>
      <c r="F17" s="10"/>
      <c r="G17" s="10"/>
      <c r="H17" s="10"/>
    </row>
    <row r="18" spans="1:8" ht="12.75">
      <c r="A18" s="13" t="s">
        <v>303</v>
      </c>
      <c r="B18" s="10"/>
      <c r="C18" s="10"/>
      <c r="D18" s="10"/>
      <c r="E18" s="10"/>
      <c r="F18" s="10"/>
      <c r="G18" s="10"/>
      <c r="H18" s="10"/>
    </row>
    <row r="19" spans="1:8" ht="12.75">
      <c r="A19" s="13"/>
      <c r="B19" s="10"/>
      <c r="C19" s="10"/>
      <c r="D19" s="10"/>
      <c r="E19" s="10"/>
      <c r="F19" s="10"/>
      <c r="G19" s="10"/>
      <c r="H19" s="10"/>
    </row>
    <row r="20" spans="1:8" ht="12.75">
      <c r="A20" s="52" t="s">
        <v>297</v>
      </c>
      <c r="B20" s="10"/>
      <c r="C20" s="10"/>
      <c r="D20" s="10"/>
      <c r="E20" s="10"/>
      <c r="F20" s="10"/>
      <c r="G20" s="10"/>
      <c r="H20" s="10"/>
    </row>
    <row r="21" spans="1:8" ht="12.75">
      <c r="A21" s="52" t="s">
        <v>298</v>
      </c>
      <c r="B21" s="10"/>
      <c r="C21" s="10"/>
      <c r="D21" s="10"/>
      <c r="E21" s="10"/>
      <c r="F21" s="10"/>
      <c r="G21" s="10"/>
      <c r="H21" s="10"/>
    </row>
    <row r="22" spans="1:8" ht="12.75">
      <c r="A22" s="52" t="s">
        <v>294</v>
      </c>
      <c r="B22" s="10"/>
      <c r="C22" s="10"/>
      <c r="D22" s="10"/>
      <c r="E22" s="10"/>
      <c r="F22" s="10"/>
      <c r="G22" s="10"/>
      <c r="H22" s="10"/>
    </row>
    <row r="23" spans="1:8" ht="12.75">
      <c r="A23" s="52" t="s">
        <v>295</v>
      </c>
      <c r="B23" s="10"/>
      <c r="C23" s="10"/>
      <c r="D23" s="10"/>
      <c r="E23" s="10"/>
      <c r="F23" s="10"/>
      <c r="G23" s="10"/>
      <c r="H23" s="10"/>
    </row>
    <row r="24" spans="1:8" ht="12.75">
      <c r="A24" s="52" t="s">
        <v>299</v>
      </c>
      <c r="B24" s="10"/>
      <c r="C24" s="10"/>
      <c r="D24" s="10"/>
      <c r="E24" s="10"/>
      <c r="F24" s="10"/>
      <c r="G24" s="10"/>
      <c r="H24" s="10"/>
    </row>
    <row r="25" spans="1:8" ht="12.75">
      <c r="A25" s="52" t="s">
        <v>296</v>
      </c>
      <c r="B25" s="10"/>
      <c r="C25" s="10"/>
      <c r="D25" s="10"/>
      <c r="E25" s="10"/>
      <c r="F25" s="10"/>
      <c r="G25" s="10"/>
      <c r="H25" s="10"/>
    </row>
    <row r="27" spans="1:5" ht="12.75">
      <c r="A27" s="55" t="s">
        <v>170</v>
      </c>
      <c r="B27" s="55"/>
      <c r="C27" s="55"/>
      <c r="D27" s="55"/>
      <c r="E27" s="55"/>
    </row>
    <row r="28" spans="1:5" ht="12.75">
      <c r="A28" s="55" t="s">
        <v>74</v>
      </c>
      <c r="B28" s="55"/>
      <c r="C28" s="55"/>
      <c r="D28" s="55"/>
      <c r="E28" s="55"/>
    </row>
    <row r="29" spans="1:5" ht="54.75">
      <c r="A29" s="3" t="s">
        <v>62</v>
      </c>
      <c r="B29" s="15" t="s">
        <v>64</v>
      </c>
      <c r="C29" s="3" t="s">
        <v>63</v>
      </c>
      <c r="D29" s="15" t="s">
        <v>65</v>
      </c>
      <c r="E29" s="15" t="s">
        <v>66</v>
      </c>
    </row>
    <row r="30" spans="1:5" ht="12.75">
      <c r="A30" s="6" t="s">
        <v>69</v>
      </c>
      <c r="B30" s="7">
        <v>5</v>
      </c>
      <c r="C30" s="7" t="s">
        <v>72</v>
      </c>
      <c r="D30" s="7">
        <v>0.24</v>
      </c>
      <c r="E30" s="8">
        <f>7.26*(D30/2)^0.65*(B30/3)^1.5/453.6</f>
        <v>0.008679695891562502</v>
      </c>
    </row>
    <row r="31" spans="1:5" ht="12.75">
      <c r="A31" s="6" t="s">
        <v>70</v>
      </c>
      <c r="B31" s="7">
        <v>15</v>
      </c>
      <c r="C31" s="7" t="s">
        <v>72</v>
      </c>
      <c r="D31" s="7">
        <v>0.24</v>
      </c>
      <c r="E31" s="8">
        <f>7.26*(D31/2)^0.65*(B31/3)^1.5/453.6</f>
        <v>0.045101022835299286</v>
      </c>
    </row>
    <row r="32" spans="1:5" ht="12.75">
      <c r="A32" s="6" t="s">
        <v>71</v>
      </c>
      <c r="B32" s="7">
        <v>2.4</v>
      </c>
      <c r="C32" s="7" t="s">
        <v>73</v>
      </c>
      <c r="D32" s="7">
        <v>0.037</v>
      </c>
      <c r="E32" s="8">
        <f>7.26*(D32/2)^0.65*(B32/3)^1.5/453.6</f>
        <v>0.0008561703402231291</v>
      </c>
    </row>
    <row r="34" ht="12.75">
      <c r="A34" s="16" t="s">
        <v>67</v>
      </c>
    </row>
    <row r="35" ht="12.75">
      <c r="A35" s="16" t="s">
        <v>68</v>
      </c>
    </row>
    <row r="36" ht="12.75">
      <c r="A36" s="16" t="s">
        <v>196</v>
      </c>
    </row>
    <row r="37" ht="12.75">
      <c r="A37" s="9" t="s">
        <v>197</v>
      </c>
    </row>
  </sheetData>
  <sheetProtection/>
  <mergeCells count="6">
    <mergeCell ref="A28:E28"/>
    <mergeCell ref="A1:D1"/>
    <mergeCell ref="A27:E27"/>
    <mergeCell ref="A3:B3"/>
    <mergeCell ref="C3:D3"/>
    <mergeCell ref="A2:D2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&amp;CC.1-&amp;P&amp;RApril 2005 Addendum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2.28125" style="0" bestFit="1" customWidth="1"/>
  </cols>
  <sheetData>
    <row r="1" spans="1:9" ht="12.75">
      <c r="A1" s="55" t="s">
        <v>171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8" t="s">
        <v>172</v>
      </c>
      <c r="B2" s="58"/>
      <c r="C2" s="58"/>
      <c r="D2" s="58"/>
      <c r="E2" s="58"/>
      <c r="F2" s="58"/>
      <c r="G2" s="58"/>
      <c r="H2" s="58"/>
      <c r="I2" s="58"/>
    </row>
    <row r="3" spans="1:9" ht="15">
      <c r="A3" s="57" t="s">
        <v>62</v>
      </c>
      <c r="B3" s="61" t="s">
        <v>75</v>
      </c>
      <c r="C3" s="57" t="s">
        <v>198</v>
      </c>
      <c r="D3" s="57"/>
      <c r="E3" s="57"/>
      <c r="F3" s="57"/>
      <c r="G3" s="57"/>
      <c r="H3" s="57"/>
      <c r="I3" s="57"/>
    </row>
    <row r="4" spans="1:9" ht="12.75">
      <c r="A4" s="65"/>
      <c r="B4" s="6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</row>
    <row r="5" spans="1:9" ht="12.75">
      <c r="A5" s="6" t="s">
        <v>69</v>
      </c>
      <c r="B5" s="7">
        <v>20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</row>
    <row r="6" spans="1:9" ht="12.75">
      <c r="A6" s="6" t="s">
        <v>70</v>
      </c>
      <c r="B6" s="7">
        <v>30</v>
      </c>
      <c r="C6" s="7">
        <v>0</v>
      </c>
      <c r="D6" s="7">
        <v>0</v>
      </c>
      <c r="E6" s="7">
        <v>0.5</v>
      </c>
      <c r="F6" s="7">
        <v>0.5</v>
      </c>
      <c r="G6" s="7">
        <v>1</v>
      </c>
      <c r="H6" s="7">
        <v>1</v>
      </c>
      <c r="I6" s="7">
        <v>1</v>
      </c>
    </row>
    <row r="7" spans="1:9" ht="12.75">
      <c r="A7" s="6" t="s">
        <v>71</v>
      </c>
      <c r="B7" s="7">
        <v>50</v>
      </c>
      <c r="C7" s="7">
        <v>10</v>
      </c>
      <c r="D7" s="7">
        <v>15</v>
      </c>
      <c r="E7" s="7">
        <v>20</v>
      </c>
      <c r="F7" s="7">
        <v>36</v>
      </c>
      <c r="G7" s="7">
        <v>44</v>
      </c>
      <c r="H7" s="7">
        <v>65</v>
      </c>
      <c r="I7" s="7">
        <v>36</v>
      </c>
    </row>
    <row r="8" spans="1:9" ht="12.75">
      <c r="A8" s="16" t="s">
        <v>19</v>
      </c>
      <c r="B8" s="11"/>
      <c r="C8" s="11"/>
      <c r="D8" s="11"/>
      <c r="E8" s="11"/>
      <c r="F8" s="11"/>
      <c r="G8" s="11"/>
      <c r="H8" s="11"/>
      <c r="I8" s="11"/>
    </row>
    <row r="10" spans="1:8" ht="12.75">
      <c r="A10" s="55" t="s">
        <v>173</v>
      </c>
      <c r="B10" s="55"/>
      <c r="C10" s="55"/>
      <c r="D10" s="55"/>
      <c r="E10" s="55"/>
      <c r="F10" s="55"/>
      <c r="G10" s="55"/>
      <c r="H10" s="55"/>
    </row>
    <row r="11" spans="1:8" ht="12.75">
      <c r="A11" s="58" t="s">
        <v>317</v>
      </c>
      <c r="B11" s="58"/>
      <c r="C11" s="58"/>
      <c r="D11" s="58"/>
      <c r="E11" s="58"/>
      <c r="F11" s="58"/>
      <c r="G11" s="58"/>
      <c r="H11" s="58"/>
    </row>
    <row r="12" spans="1:8" ht="12.75">
      <c r="A12" s="57" t="s">
        <v>62</v>
      </c>
      <c r="B12" s="57" t="s">
        <v>55</v>
      </c>
      <c r="C12" s="57"/>
      <c r="D12" s="57"/>
      <c r="E12" s="57"/>
      <c r="F12" s="57"/>
      <c r="G12" s="57"/>
      <c r="H12" s="57"/>
    </row>
    <row r="13" spans="1:8" ht="12.75">
      <c r="A13" s="65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</row>
    <row r="14" spans="1:8" ht="12.75">
      <c r="A14" s="6" t="str">
        <f>A5</f>
        <v>On-site Pickup Truck</v>
      </c>
      <c r="B14" s="25">
        <f>$B5*C5*'Tables 18&amp;19'!$D$4</f>
        <v>0.4618</v>
      </c>
      <c r="C14" s="25">
        <f>$B5*D5*'Tables 18&amp;19'!$D$4</f>
        <v>0.4618</v>
      </c>
      <c r="D14" s="25">
        <f>$B5*E5*'Tables 18&amp;19'!$D$4</f>
        <v>0.4618</v>
      </c>
      <c r="E14" s="25">
        <f>$B5*F5*'Tables 18&amp;19'!$D$4</f>
        <v>0.4618</v>
      </c>
      <c r="F14" s="25">
        <f>$B5*G5*'Tables 18&amp;19'!$D$4</f>
        <v>0.4618</v>
      </c>
      <c r="G14" s="25">
        <f>$B5*H5*'Tables 18&amp;19'!$D$4</f>
        <v>0.4618</v>
      </c>
      <c r="H14" s="25">
        <f>$B5*I5*'Tables 18&amp;19'!$D$4</f>
        <v>0.4618</v>
      </c>
    </row>
    <row r="15" spans="1:8" ht="12.75">
      <c r="A15" s="6" t="str">
        <f>A6</f>
        <v>On-site Stakebed Truck</v>
      </c>
      <c r="B15" s="25">
        <f>$B6*C6*'Tables 18&amp;19'!$D$4</f>
        <v>0</v>
      </c>
      <c r="C15" s="25">
        <f>$B6*D6*'Tables 18&amp;19'!$D$4</f>
        <v>0</v>
      </c>
      <c r="D15" s="25">
        <f>$B6*E6*'Tables 18&amp;19'!$D$4</f>
        <v>0.34635</v>
      </c>
      <c r="E15" s="25">
        <f>$B6*F6*'Tables 18&amp;19'!$D$4</f>
        <v>0.34635</v>
      </c>
      <c r="F15" s="25">
        <f>$B6*G6*'Tables 18&amp;19'!$D$4</f>
        <v>0.6927</v>
      </c>
      <c r="G15" s="25">
        <f>$B6*H6*'Tables 18&amp;19'!$D$4</f>
        <v>0.6927</v>
      </c>
      <c r="H15" s="25">
        <f>$B6*I6*'Tables 18&amp;19'!$D$4</f>
        <v>0.6927</v>
      </c>
    </row>
    <row r="16" spans="1:8" ht="12.75">
      <c r="A16" s="6" t="str">
        <f>A7</f>
        <v>Off-Site Worker Commute</v>
      </c>
      <c r="B16" s="25">
        <f>$B7*C7*'Tables 18&amp;19'!$B$4</f>
        <v>8.2795</v>
      </c>
      <c r="C16" s="25">
        <f>$B7*D7*'Tables 18&amp;19'!$B$4</f>
        <v>12.41925</v>
      </c>
      <c r="D16" s="25">
        <f>$B7*E7*'Tables 18&amp;19'!$B$4</f>
        <v>16.559</v>
      </c>
      <c r="E16" s="25">
        <f>$B7*F7*'Tables 18&amp;19'!$B$4</f>
        <v>29.8062</v>
      </c>
      <c r="F16" s="25">
        <f>$B7*G7*'Tables 18&amp;19'!$B$4</f>
        <v>36.4298</v>
      </c>
      <c r="G16" s="25">
        <f>$B7*H7*'Tables 18&amp;19'!$B$4</f>
        <v>53.816750000000006</v>
      </c>
      <c r="H16" s="25">
        <f>$B7*I7*'Tables 18&amp;19'!$B$4</f>
        <v>29.8062</v>
      </c>
    </row>
    <row r="17" spans="1:8" ht="12.75">
      <c r="A17" s="19" t="s">
        <v>21</v>
      </c>
      <c r="B17" s="26">
        <f aca="true" t="shared" si="0" ref="B17:H17">SUM(B14:B16)</f>
        <v>8.7413</v>
      </c>
      <c r="C17" s="26">
        <f t="shared" si="0"/>
        <v>12.88105</v>
      </c>
      <c r="D17" s="26">
        <f t="shared" si="0"/>
        <v>17.367150000000002</v>
      </c>
      <c r="E17" s="26">
        <f t="shared" si="0"/>
        <v>30.61435</v>
      </c>
      <c r="F17" s="26">
        <f t="shared" si="0"/>
        <v>37.5843</v>
      </c>
      <c r="G17" s="26">
        <f t="shared" si="0"/>
        <v>54.971250000000005</v>
      </c>
      <c r="H17" s="26">
        <f t="shared" si="0"/>
        <v>30.9607</v>
      </c>
    </row>
    <row r="19" spans="1:8" ht="12.75">
      <c r="A19" s="55" t="s">
        <v>174</v>
      </c>
      <c r="B19" s="55"/>
      <c r="C19" s="55"/>
      <c r="D19" s="55"/>
      <c r="E19" s="55"/>
      <c r="F19" s="55"/>
      <c r="G19" s="55"/>
      <c r="H19" s="55"/>
    </row>
    <row r="20" spans="1:8" ht="12.75">
      <c r="A20" s="58" t="s">
        <v>318</v>
      </c>
      <c r="B20" s="58"/>
      <c r="C20" s="58"/>
      <c r="D20" s="58"/>
      <c r="E20" s="58"/>
      <c r="F20" s="58"/>
      <c r="G20" s="58"/>
      <c r="H20" s="58"/>
    </row>
    <row r="21" spans="1:8" ht="12.75">
      <c r="A21" s="57" t="s">
        <v>62</v>
      </c>
      <c r="B21" s="57" t="s">
        <v>55</v>
      </c>
      <c r="C21" s="57"/>
      <c r="D21" s="57"/>
      <c r="E21" s="57"/>
      <c r="F21" s="57"/>
      <c r="G21" s="57"/>
      <c r="H21" s="57"/>
    </row>
    <row r="22" spans="1:8" ht="12.75">
      <c r="A22" s="65"/>
      <c r="B22" s="7">
        <v>1</v>
      </c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</row>
    <row r="23" spans="1:8" ht="12.75">
      <c r="A23" s="6" t="str">
        <f>A5</f>
        <v>On-site Pickup Truck</v>
      </c>
      <c r="B23" s="25">
        <f>$B5*C5*'Tables 18&amp;19'!$D$6</f>
        <v>0.06296</v>
      </c>
      <c r="C23" s="25">
        <f>$B5*D5*'Tables 18&amp;19'!$D$6</f>
        <v>0.06296</v>
      </c>
      <c r="D23" s="25">
        <f>$B5*E5*'Tables 18&amp;19'!$D$6</f>
        <v>0.06296</v>
      </c>
      <c r="E23" s="25">
        <f>$B5*F5*'Tables 18&amp;19'!$D$6</f>
        <v>0.06296</v>
      </c>
      <c r="F23" s="25">
        <f>$B5*G5*'Tables 18&amp;19'!$D$6</f>
        <v>0.06296</v>
      </c>
      <c r="G23" s="25">
        <f>$B5*H5*'Tables 18&amp;19'!$D$6</f>
        <v>0.06296</v>
      </c>
      <c r="H23" s="25">
        <f>$B5*I5*'Tables 18&amp;19'!$D$6</f>
        <v>0.06296</v>
      </c>
    </row>
    <row r="24" spans="1:8" ht="12.75">
      <c r="A24" s="6" t="str">
        <f>A6</f>
        <v>On-site Stakebed Truck</v>
      </c>
      <c r="B24" s="25">
        <f>$B6*C6*'Tables 18&amp;19'!$D$6</f>
        <v>0</v>
      </c>
      <c r="C24" s="25">
        <f>$B6*D6*'Tables 18&amp;19'!$D$6</f>
        <v>0</v>
      </c>
      <c r="D24" s="25">
        <f>$B6*E6*'Tables 18&amp;19'!$D$6</f>
        <v>0.047220000000000005</v>
      </c>
      <c r="E24" s="25">
        <f>$B6*F6*'Tables 18&amp;19'!$D$6</f>
        <v>0.047220000000000005</v>
      </c>
      <c r="F24" s="25">
        <f>$B6*G6*'Tables 18&amp;19'!$D$6</f>
        <v>0.09444000000000001</v>
      </c>
      <c r="G24" s="25">
        <f>$B6*H6*'Tables 18&amp;19'!$D$6</f>
        <v>0.09444000000000001</v>
      </c>
      <c r="H24" s="25">
        <f>$B6*I6*'Tables 18&amp;19'!$D$6</f>
        <v>0.09444000000000001</v>
      </c>
    </row>
    <row r="25" spans="1:8" ht="12.75">
      <c r="A25" s="6" t="str">
        <f>A7</f>
        <v>Off-Site Worker Commute</v>
      </c>
      <c r="B25" s="25">
        <f>$B7*C7*'Tables 18&amp;19'!$B$6</f>
        <v>0.8855</v>
      </c>
      <c r="C25" s="25">
        <f>$B7*D7*'Tables 18&amp;19'!$B$6</f>
        <v>1.32825</v>
      </c>
      <c r="D25" s="25">
        <f>$B7*E7*'Tables 18&amp;19'!$B$6</f>
        <v>1.771</v>
      </c>
      <c r="E25" s="25">
        <f>$B7*F7*'Tables 18&amp;19'!$B$6</f>
        <v>3.1878</v>
      </c>
      <c r="F25" s="25">
        <f>$B7*G7*'Tables 18&amp;19'!$B$6</f>
        <v>3.8962</v>
      </c>
      <c r="G25" s="25">
        <f>$B7*H7*'Tables 18&amp;19'!$B$6</f>
        <v>5.75575</v>
      </c>
      <c r="H25" s="25">
        <f>$B7*I7*'Tables 18&amp;19'!$B$6</f>
        <v>3.1878</v>
      </c>
    </row>
    <row r="26" spans="1:8" ht="12.75">
      <c r="A26" s="19" t="s">
        <v>21</v>
      </c>
      <c r="B26" s="26">
        <f aca="true" t="shared" si="1" ref="B26:H26">SUM(B23:B25)</f>
        <v>0.94846</v>
      </c>
      <c r="C26" s="26">
        <f t="shared" si="1"/>
        <v>1.3912099999999998</v>
      </c>
      <c r="D26" s="26">
        <f t="shared" si="1"/>
        <v>1.8811799999999999</v>
      </c>
      <c r="E26" s="26">
        <f t="shared" si="1"/>
        <v>3.2979800000000004</v>
      </c>
      <c r="F26" s="26">
        <f t="shared" si="1"/>
        <v>4.0536</v>
      </c>
      <c r="G26" s="26">
        <f t="shared" si="1"/>
        <v>5.91315</v>
      </c>
      <c r="H26" s="26">
        <f t="shared" si="1"/>
        <v>3.3452</v>
      </c>
    </row>
    <row r="28" spans="1:8" ht="12.75">
      <c r="A28" s="55" t="s">
        <v>175</v>
      </c>
      <c r="B28" s="55"/>
      <c r="C28" s="55"/>
      <c r="D28" s="55"/>
      <c r="E28" s="55"/>
      <c r="F28" s="55"/>
      <c r="G28" s="55"/>
      <c r="H28" s="55"/>
    </row>
    <row r="29" spans="1:8" ht="12.75">
      <c r="A29" s="58" t="s">
        <v>319</v>
      </c>
      <c r="B29" s="58"/>
      <c r="C29" s="58"/>
      <c r="D29" s="58"/>
      <c r="E29" s="58"/>
      <c r="F29" s="58"/>
      <c r="G29" s="58"/>
      <c r="H29" s="58"/>
    </row>
    <row r="30" spans="1:8" ht="12.75">
      <c r="A30" s="57" t="s">
        <v>62</v>
      </c>
      <c r="B30" s="57" t="s">
        <v>55</v>
      </c>
      <c r="C30" s="57"/>
      <c r="D30" s="57"/>
      <c r="E30" s="57"/>
      <c r="F30" s="57"/>
      <c r="G30" s="57"/>
      <c r="H30" s="57"/>
    </row>
    <row r="31" spans="1:8" ht="12.75">
      <c r="A31" s="65"/>
      <c r="B31" s="7">
        <v>1</v>
      </c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</row>
    <row r="32" spans="1:8" ht="12.75">
      <c r="A32" s="6" t="str">
        <f>A5</f>
        <v>On-site Pickup Truck</v>
      </c>
      <c r="B32" s="25">
        <f>$B5*C5*'Tables 18&amp;19'!$D$5</f>
        <v>0.59214</v>
      </c>
      <c r="C32" s="25">
        <f>$B5*D5*'Tables 18&amp;19'!$D$5</f>
        <v>0.59214</v>
      </c>
      <c r="D32" s="25">
        <f>$B5*E5*'Tables 18&amp;19'!$D$5</f>
        <v>0.59214</v>
      </c>
      <c r="E32" s="25">
        <f>$B5*F5*'Tables 18&amp;19'!$D$5</f>
        <v>0.59214</v>
      </c>
      <c r="F32" s="25">
        <f>$B5*G5*'Tables 18&amp;19'!$D$5</f>
        <v>0.59214</v>
      </c>
      <c r="G32" s="25">
        <f>$B5*H5*'Tables 18&amp;19'!$D$5</f>
        <v>0.59214</v>
      </c>
      <c r="H32" s="25">
        <f>$B5*I5*'Tables 18&amp;19'!$D$5</f>
        <v>0.59214</v>
      </c>
    </row>
    <row r="33" spans="1:8" ht="12.75">
      <c r="A33" s="6" t="str">
        <f>A6</f>
        <v>On-site Stakebed Truck</v>
      </c>
      <c r="B33" s="25">
        <f>$B6*C6*'Tables 18&amp;19'!$D$5</f>
        <v>0</v>
      </c>
      <c r="C33" s="25">
        <f>$B6*D6*'Tables 18&amp;19'!$D$5</f>
        <v>0</v>
      </c>
      <c r="D33" s="25">
        <f>$B6*E6*'Tables 18&amp;19'!$D$5</f>
        <v>0.444105</v>
      </c>
      <c r="E33" s="25">
        <f>$B6*F6*'Tables 18&amp;19'!$D$5</f>
        <v>0.444105</v>
      </c>
      <c r="F33" s="25">
        <f>$B6*G6*'Tables 18&amp;19'!$D$5</f>
        <v>0.88821</v>
      </c>
      <c r="G33" s="25">
        <f>$B6*H6*'Tables 18&amp;19'!$D$5</f>
        <v>0.88821</v>
      </c>
      <c r="H33" s="25">
        <f>$B6*I6*'Tables 18&amp;19'!$D$5</f>
        <v>0.88821</v>
      </c>
    </row>
    <row r="34" spans="1:8" ht="12.75">
      <c r="A34" s="6" t="str">
        <f>A7</f>
        <v>Off-Site Worker Commute</v>
      </c>
      <c r="B34" s="25">
        <f>$B7*C7*'Tables 18&amp;19'!$B$5</f>
        <v>0.9</v>
      </c>
      <c r="C34" s="25">
        <f>$B7*D7*'Tables 18&amp;19'!$B$5</f>
        <v>1.3499999999999999</v>
      </c>
      <c r="D34" s="25">
        <f>$B7*E7*'Tables 18&amp;19'!$B$5</f>
        <v>1.8</v>
      </c>
      <c r="E34" s="25">
        <f>$B7*F7*'Tables 18&amp;19'!$B$5</f>
        <v>3.2399999999999998</v>
      </c>
      <c r="F34" s="25">
        <f>$B7*G7*'Tables 18&amp;19'!$B$5</f>
        <v>3.96</v>
      </c>
      <c r="G34" s="25">
        <f>$B7*H7*'Tables 18&amp;19'!$B$5</f>
        <v>5.85</v>
      </c>
      <c r="H34" s="25">
        <f>$B7*I7*'Tables 18&amp;19'!$B$5</f>
        <v>3.2399999999999998</v>
      </c>
    </row>
    <row r="35" spans="1:8" ht="12.75">
      <c r="A35" s="19" t="s">
        <v>21</v>
      </c>
      <c r="B35" s="26">
        <f aca="true" t="shared" si="2" ref="B35:H35">SUM(B32:B34)</f>
        <v>1.49214</v>
      </c>
      <c r="C35" s="26">
        <f t="shared" si="2"/>
        <v>1.9421399999999998</v>
      </c>
      <c r="D35" s="26">
        <f t="shared" si="2"/>
        <v>2.836245</v>
      </c>
      <c r="E35" s="26">
        <f t="shared" si="2"/>
        <v>4.276244999999999</v>
      </c>
      <c r="F35" s="26">
        <f t="shared" si="2"/>
        <v>5.4403500000000005</v>
      </c>
      <c r="G35" s="26">
        <f t="shared" si="2"/>
        <v>7.330349999999999</v>
      </c>
      <c r="H35" s="26">
        <f t="shared" si="2"/>
        <v>4.72035</v>
      </c>
    </row>
    <row r="37" spans="1:8" ht="12.75">
      <c r="A37" s="55" t="s">
        <v>176</v>
      </c>
      <c r="B37" s="55"/>
      <c r="C37" s="55"/>
      <c r="D37" s="55"/>
      <c r="E37" s="55"/>
      <c r="F37" s="55"/>
      <c r="G37" s="55"/>
      <c r="H37" s="55"/>
    </row>
    <row r="38" spans="1:8" ht="12.75">
      <c r="A38" s="58" t="s">
        <v>320</v>
      </c>
      <c r="B38" s="58"/>
      <c r="C38" s="58"/>
      <c r="D38" s="58"/>
      <c r="E38" s="58"/>
      <c r="F38" s="58"/>
      <c r="G38" s="58"/>
      <c r="H38" s="58"/>
    </row>
    <row r="39" spans="1:8" ht="12.75">
      <c r="A39" s="57" t="s">
        <v>62</v>
      </c>
      <c r="B39" s="57" t="s">
        <v>55</v>
      </c>
      <c r="C39" s="57"/>
      <c r="D39" s="57"/>
      <c r="E39" s="57"/>
      <c r="F39" s="57"/>
      <c r="G39" s="57"/>
      <c r="H39" s="57"/>
    </row>
    <row r="40" spans="1:8" ht="12.75">
      <c r="A40" s="65"/>
      <c r="B40" s="7">
        <v>1</v>
      </c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</row>
    <row r="41" spans="1:8" ht="12.75">
      <c r="A41" s="6" t="str">
        <f>A5</f>
        <v>On-site Pickup Truck</v>
      </c>
      <c r="B41" s="25">
        <f>$B5*C5*'Tables 18&amp;19'!$D$7</f>
        <v>0.00486</v>
      </c>
      <c r="C41" s="25">
        <f>$B5*D5*'Tables 18&amp;19'!$D$7</f>
        <v>0.00486</v>
      </c>
      <c r="D41" s="25">
        <f>$B5*E5*'Tables 18&amp;19'!$D$7</f>
        <v>0.00486</v>
      </c>
      <c r="E41" s="25">
        <f>$B5*F5*'Tables 18&amp;19'!$D$7</f>
        <v>0.00486</v>
      </c>
      <c r="F41" s="25">
        <f>$B5*G5*'Tables 18&amp;19'!$D$7</f>
        <v>0.00486</v>
      </c>
      <c r="G41" s="25">
        <f>$B5*H5*'Tables 18&amp;19'!$D$7</f>
        <v>0.00486</v>
      </c>
      <c r="H41" s="25">
        <f>$B5*I5*'Tables 18&amp;19'!$D$7</f>
        <v>0.00486</v>
      </c>
    </row>
    <row r="42" spans="1:8" ht="12.75">
      <c r="A42" s="6" t="str">
        <f>A6</f>
        <v>On-site Stakebed Truck</v>
      </c>
      <c r="B42" s="25">
        <f>$B6*C6*'Tables 18&amp;19'!$D$7</f>
        <v>0</v>
      </c>
      <c r="C42" s="25">
        <f>$B6*D6*'Tables 18&amp;19'!$D$7</f>
        <v>0</v>
      </c>
      <c r="D42" s="25">
        <f>$B6*E6*'Tables 18&amp;19'!$D$7</f>
        <v>0.003645</v>
      </c>
      <c r="E42" s="25">
        <f>$B6*F6*'Tables 18&amp;19'!$D$7</f>
        <v>0.003645</v>
      </c>
      <c r="F42" s="25">
        <f>$B6*G6*'Tables 18&amp;19'!$D$7</f>
        <v>0.00729</v>
      </c>
      <c r="G42" s="25">
        <f>$B6*H6*'Tables 18&amp;19'!$D$7</f>
        <v>0.00729</v>
      </c>
      <c r="H42" s="25">
        <f>$B6*I6*'Tables 18&amp;19'!$D$7</f>
        <v>0.00729</v>
      </c>
    </row>
    <row r="43" spans="1:8" ht="12.75">
      <c r="A43" s="6" t="str">
        <f>A7</f>
        <v>Off-Site Worker Commute</v>
      </c>
      <c r="B43" s="25">
        <f>$B7*C7*'Tables 18&amp;19'!$B$7</f>
        <v>0.005</v>
      </c>
      <c r="C43" s="25">
        <f>$B7*D7*'Tables 18&amp;19'!$B$7</f>
        <v>0.007500000000000001</v>
      </c>
      <c r="D43" s="25">
        <f>$B7*E7*'Tables 18&amp;19'!$B$7</f>
        <v>0.01</v>
      </c>
      <c r="E43" s="25">
        <f>$B7*F7*'Tables 18&amp;19'!$B$7</f>
        <v>0.018000000000000002</v>
      </c>
      <c r="F43" s="25">
        <f>$B7*G7*'Tables 18&amp;19'!$B$7</f>
        <v>0.022000000000000002</v>
      </c>
      <c r="G43" s="25">
        <f>$B7*H7*'Tables 18&amp;19'!$B$7</f>
        <v>0.0325</v>
      </c>
      <c r="H43" s="25">
        <f>$B7*I7*'Tables 18&amp;19'!$B$7</f>
        <v>0.018000000000000002</v>
      </c>
    </row>
    <row r="44" spans="1:8" ht="12.75">
      <c r="A44" s="19" t="s">
        <v>21</v>
      </c>
      <c r="B44" s="26">
        <f aca="true" t="shared" si="3" ref="B44:H44">SUM(B41:B43)</f>
        <v>0.00986</v>
      </c>
      <c r="C44" s="26">
        <f t="shared" si="3"/>
        <v>0.01236</v>
      </c>
      <c r="D44" s="26">
        <f t="shared" si="3"/>
        <v>0.018505</v>
      </c>
      <c r="E44" s="26">
        <f t="shared" si="3"/>
        <v>0.026505</v>
      </c>
      <c r="F44" s="26">
        <f t="shared" si="3"/>
        <v>0.03415</v>
      </c>
      <c r="G44" s="26">
        <f t="shared" si="3"/>
        <v>0.04465</v>
      </c>
      <c r="H44" s="26">
        <f t="shared" si="3"/>
        <v>0.030150000000000003</v>
      </c>
    </row>
    <row r="46" spans="1:8" ht="12.75">
      <c r="A46" s="55" t="s">
        <v>178</v>
      </c>
      <c r="B46" s="55"/>
      <c r="C46" s="55"/>
      <c r="D46" s="55"/>
      <c r="E46" s="55"/>
      <c r="F46" s="55"/>
      <c r="G46" s="55"/>
      <c r="H46" s="55"/>
    </row>
    <row r="47" spans="1:8" ht="12.75">
      <c r="A47" s="58" t="s">
        <v>321</v>
      </c>
      <c r="B47" s="58"/>
      <c r="C47" s="58"/>
      <c r="D47" s="58"/>
      <c r="E47" s="58"/>
      <c r="F47" s="58"/>
      <c r="G47" s="58"/>
      <c r="H47" s="58"/>
    </row>
    <row r="48" spans="1:8" ht="12.75">
      <c r="A48" s="57" t="s">
        <v>62</v>
      </c>
      <c r="B48" s="57" t="s">
        <v>55</v>
      </c>
      <c r="C48" s="57"/>
      <c r="D48" s="57"/>
      <c r="E48" s="57"/>
      <c r="F48" s="57"/>
      <c r="G48" s="57"/>
      <c r="H48" s="57"/>
    </row>
    <row r="49" spans="1:8" ht="12.75">
      <c r="A49" s="65"/>
      <c r="B49" s="7">
        <v>1</v>
      </c>
      <c r="C49" s="7">
        <v>2</v>
      </c>
      <c r="D49" s="7">
        <v>3</v>
      </c>
      <c r="E49" s="7">
        <v>4</v>
      </c>
      <c r="F49" s="7">
        <v>5</v>
      </c>
      <c r="G49" s="7">
        <v>6</v>
      </c>
      <c r="H49" s="7">
        <v>7</v>
      </c>
    </row>
    <row r="50" spans="1:8" ht="12.75">
      <c r="A50" s="6" t="str">
        <f>A5</f>
        <v>On-site Pickup Truck</v>
      </c>
      <c r="B50" s="25">
        <f>$B5*C5*('Tables 18&amp;19'!$D$8+'Tables 18&amp;19'!$E30)</f>
        <v>0.18397529475051702</v>
      </c>
      <c r="C50" s="25">
        <f>$B5*D5*('Tables 18&amp;19'!$D$8+'Tables 18&amp;19'!$E30)</f>
        <v>0.18397529475051702</v>
      </c>
      <c r="D50" s="25">
        <f>$B5*E5*('Tables 18&amp;19'!$D$8+'Tables 18&amp;19'!$E30)</f>
        <v>0.18397529475051702</v>
      </c>
      <c r="E50" s="25">
        <f>$B5*F5*('Tables 18&amp;19'!$D$8+'Tables 18&amp;19'!$E30)</f>
        <v>0.18397529475051702</v>
      </c>
      <c r="F50" s="25">
        <f>$B5*G5*('Tables 18&amp;19'!$D$8+'Tables 18&amp;19'!$E30)</f>
        <v>0.18397529475051702</v>
      </c>
      <c r="G50" s="25">
        <f>$B5*H5*('Tables 18&amp;19'!$D$8+'Tables 18&amp;19'!$E30)</f>
        <v>0.18397529475051702</v>
      </c>
      <c r="H50" s="25">
        <f>$B5*I5*('Tables 18&amp;19'!$D$8+'Tables 18&amp;19'!$E30)</f>
        <v>0.18397529475051702</v>
      </c>
    </row>
    <row r="51" spans="1:8" ht="12.75">
      <c r="A51" s="6" t="str">
        <f>A6</f>
        <v>On-site Stakebed Truck</v>
      </c>
      <c r="B51" s="25">
        <f>$B6*C6*('Tables 18&amp;19'!$D$8+'Tables 18&amp;19'!$E31)</f>
        <v>0</v>
      </c>
      <c r="C51" s="25">
        <f>$B6*D6*('Tables 18&amp;19'!$D$8+'Tables 18&amp;19'!$E31)</f>
        <v>0</v>
      </c>
      <c r="D51" s="25">
        <f>$B6*E6*('Tables 18&amp;19'!$D$8+'Tables 18&amp;19'!$E31)</f>
        <v>0.6843013752189395</v>
      </c>
      <c r="E51" s="25">
        <f>$B6*F6*('Tables 18&amp;19'!$D$8+'Tables 18&amp;19'!$E31)</f>
        <v>0.6843013752189395</v>
      </c>
      <c r="F51" s="25">
        <f>$B6*G6*('Tables 18&amp;19'!$D$8+'Tables 18&amp;19'!$E31)</f>
        <v>1.368602750437879</v>
      </c>
      <c r="G51" s="25">
        <f>$B6*H6*('Tables 18&amp;19'!$D$8+'Tables 18&amp;19'!$E31)</f>
        <v>1.368602750437879</v>
      </c>
      <c r="H51" s="25">
        <f>$B6*I6*('Tables 18&amp;19'!$D$8+'Tables 18&amp;19'!$E31)</f>
        <v>1.368602750437879</v>
      </c>
    </row>
    <row r="52" spans="1:8" ht="12.75">
      <c r="A52" s="6" t="str">
        <f>A7</f>
        <v>Off-Site Worker Commute</v>
      </c>
      <c r="B52" s="25">
        <f>$B7*C7*('Tables 18&amp;19'!$D$8+'Tables 18&amp;19'!$E32)</f>
        <v>0.6876195930932387</v>
      </c>
      <c r="C52" s="25">
        <f>$B7*D7*('Tables 18&amp;19'!$D$8+'Tables 18&amp;19'!$E32)</f>
        <v>1.031429389639858</v>
      </c>
      <c r="D52" s="25">
        <f>$B7*E7*('Tables 18&amp;19'!$D$8+'Tables 18&amp;19'!$E32)</f>
        <v>1.3752391861864774</v>
      </c>
      <c r="E52" s="25">
        <f>$B7*F7*('Tables 18&amp;19'!$D$8+'Tables 18&amp;19'!$E32)</f>
        <v>2.475430535135659</v>
      </c>
      <c r="F52" s="25">
        <f>$B7*G7*('Tables 18&amp;19'!$D$8+'Tables 18&amp;19'!$E32)</f>
        <v>3.02552620961025</v>
      </c>
      <c r="G52" s="25">
        <f>$B7*H7*('Tables 18&amp;19'!$D$8+'Tables 18&amp;19'!$E32)</f>
        <v>4.4695273551060515</v>
      </c>
      <c r="H52" s="25">
        <f>$B7*I7*('Tables 18&amp;19'!$D$8+'Tables 18&amp;19'!$E32)</f>
        <v>2.475430535135659</v>
      </c>
    </row>
    <row r="53" spans="1:8" ht="12.75">
      <c r="A53" s="19" t="s">
        <v>21</v>
      </c>
      <c r="B53" s="26">
        <f aca="true" t="shared" si="4" ref="B53:H53">SUM(B50:B52)</f>
        <v>0.8715948878437557</v>
      </c>
      <c r="C53" s="26">
        <f t="shared" si="4"/>
        <v>1.2154046843903752</v>
      </c>
      <c r="D53" s="26">
        <f t="shared" si="4"/>
        <v>2.243515856155934</v>
      </c>
      <c r="E53" s="26">
        <f t="shared" si="4"/>
        <v>3.3437072051051158</v>
      </c>
      <c r="F53" s="26">
        <f t="shared" si="4"/>
        <v>4.578104254798646</v>
      </c>
      <c r="G53" s="26">
        <f t="shared" si="4"/>
        <v>6.022105400294448</v>
      </c>
      <c r="H53" s="26">
        <f t="shared" si="4"/>
        <v>4.028008580324055</v>
      </c>
    </row>
  </sheetData>
  <sheetProtection/>
  <mergeCells count="25">
    <mergeCell ref="A2:I2"/>
    <mergeCell ref="A1:I1"/>
    <mergeCell ref="A10:H10"/>
    <mergeCell ref="A19:H19"/>
    <mergeCell ref="C3:I3"/>
    <mergeCell ref="B3:B4"/>
    <mergeCell ref="A3:A4"/>
    <mergeCell ref="A12:A13"/>
    <mergeCell ref="A11:H11"/>
    <mergeCell ref="B12:H12"/>
    <mergeCell ref="A20:H20"/>
    <mergeCell ref="A21:A22"/>
    <mergeCell ref="B21:H21"/>
    <mergeCell ref="A29:H29"/>
    <mergeCell ref="A28:H28"/>
    <mergeCell ref="A48:A49"/>
    <mergeCell ref="B48:H48"/>
    <mergeCell ref="A30:A31"/>
    <mergeCell ref="B30:H30"/>
    <mergeCell ref="A38:H38"/>
    <mergeCell ref="A39:A40"/>
    <mergeCell ref="B39:H39"/>
    <mergeCell ref="A37:H37"/>
    <mergeCell ref="A46:H46"/>
    <mergeCell ref="A47:H47"/>
  </mergeCells>
  <printOptions horizontalCentered="1"/>
  <pageMargins left="0.75" right="0.75" top="1" bottom="1" header="0.5" footer="0.5"/>
  <pageSetup fitToHeight="1" fitToWidth="1" horizontalDpi="600" verticalDpi="600" orientation="portrait" scale="94" r:id="rId1"/>
  <headerFooter alignWithMargins="0">
    <oddFooter>&amp;CC.1-&amp;P&amp;RApril 2005 Addendum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0.140625" style="0" customWidth="1"/>
    <col min="2" max="3" width="9.28125" style="0" bestFit="1" customWidth="1"/>
    <col min="4" max="4" width="9.8515625" style="0" bestFit="1" customWidth="1"/>
    <col min="5" max="5" width="10.421875" style="0" bestFit="1" customWidth="1"/>
    <col min="6" max="6" width="9.28125" style="0" bestFit="1" customWidth="1"/>
  </cols>
  <sheetData>
    <row r="1" spans="1:6" ht="12.75">
      <c r="A1" s="55" t="s">
        <v>179</v>
      </c>
      <c r="B1" s="55"/>
      <c r="C1" s="55"/>
      <c r="D1" s="55"/>
      <c r="E1" s="55"/>
      <c r="F1" s="55"/>
    </row>
    <row r="2" spans="1:6" ht="12.75">
      <c r="A2" s="58" t="s">
        <v>274</v>
      </c>
      <c r="B2" s="58"/>
      <c r="C2" s="58"/>
      <c r="D2" s="58"/>
      <c r="E2" s="58"/>
      <c r="F2" s="58"/>
    </row>
    <row r="3" spans="1:6" ht="28.5">
      <c r="A3" s="15" t="s">
        <v>48</v>
      </c>
      <c r="B3" s="15" t="s">
        <v>229</v>
      </c>
      <c r="C3" s="15" t="s">
        <v>230</v>
      </c>
      <c r="D3" s="15" t="s">
        <v>256</v>
      </c>
      <c r="E3" s="15" t="s">
        <v>257</v>
      </c>
      <c r="F3" s="15" t="s">
        <v>258</v>
      </c>
    </row>
    <row r="4" spans="1:6" ht="12.75">
      <c r="A4" s="66" t="s">
        <v>235</v>
      </c>
      <c r="B4" s="67"/>
      <c r="C4" s="67"/>
      <c r="D4" s="67"/>
      <c r="E4" s="67"/>
      <c r="F4" s="68"/>
    </row>
    <row r="5" spans="1:6" ht="12.75">
      <c r="A5" s="57" t="s">
        <v>259</v>
      </c>
      <c r="B5" s="57"/>
      <c r="C5" s="57"/>
      <c r="D5" s="57"/>
      <c r="E5" s="57"/>
      <c r="F5" s="57"/>
    </row>
    <row r="6" spans="1:6" ht="12.75">
      <c r="A6" s="6" t="s">
        <v>236</v>
      </c>
      <c r="B6" s="42">
        <v>0</v>
      </c>
      <c r="C6" s="42">
        <v>-30.32465753424658</v>
      </c>
      <c r="D6" s="42">
        <v>0</v>
      </c>
      <c r="E6" s="42">
        <v>0</v>
      </c>
      <c r="F6" s="42">
        <v>0</v>
      </c>
    </row>
    <row r="7" spans="1:6" ht="12.75">
      <c r="A7" s="6" t="s">
        <v>237</v>
      </c>
      <c r="B7" s="42">
        <v>0</v>
      </c>
      <c r="C7" s="42">
        <v>7.0826502600000065</v>
      </c>
      <c r="D7" s="42">
        <v>0</v>
      </c>
      <c r="E7" s="42">
        <v>0</v>
      </c>
      <c r="F7" s="42">
        <v>0</v>
      </c>
    </row>
    <row r="8" spans="1:6" ht="12.75">
      <c r="A8" s="6" t="s">
        <v>238</v>
      </c>
      <c r="B8" s="42">
        <v>0</v>
      </c>
      <c r="C8" s="42">
        <v>0</v>
      </c>
      <c r="D8" s="42">
        <v>0</v>
      </c>
      <c r="E8" s="42">
        <v>10</v>
      </c>
      <c r="F8" s="42">
        <v>0</v>
      </c>
    </row>
    <row r="9" spans="1:6" ht="12.75">
      <c r="A9" s="19" t="s">
        <v>21</v>
      </c>
      <c r="B9" s="43">
        <f>SUM(B6:B8)</f>
        <v>0</v>
      </c>
      <c r="C9" s="43">
        <f>SUM(C6:C8)</f>
        <v>-23.242007274246575</v>
      </c>
      <c r="D9" s="43">
        <f>SUM(D6:D8)</f>
        <v>0</v>
      </c>
      <c r="E9" s="43">
        <f>SUM(E6:E8)</f>
        <v>10</v>
      </c>
      <c r="F9" s="43">
        <f>SUM(F6:F8)</f>
        <v>0</v>
      </c>
    </row>
    <row r="10" spans="1:6" ht="12.75">
      <c r="A10" s="57" t="s">
        <v>239</v>
      </c>
      <c r="B10" s="57"/>
      <c r="C10" s="57"/>
      <c r="D10" s="57"/>
      <c r="E10" s="57"/>
      <c r="F10" s="57"/>
    </row>
    <row r="11" spans="1:6" ht="12.75">
      <c r="A11" s="6" t="s">
        <v>236</v>
      </c>
      <c r="B11" s="43">
        <v>0</v>
      </c>
      <c r="C11" s="43">
        <v>0.8263013698630137</v>
      </c>
      <c r="D11" s="43">
        <v>0</v>
      </c>
      <c r="E11" s="43">
        <v>0</v>
      </c>
      <c r="F11" s="43">
        <v>0</v>
      </c>
    </row>
    <row r="12" spans="1:6" ht="12.75">
      <c r="A12" s="61" t="s">
        <v>240</v>
      </c>
      <c r="B12" s="61"/>
      <c r="C12" s="61"/>
      <c r="D12" s="61"/>
      <c r="E12" s="61"/>
      <c r="F12" s="61"/>
    </row>
    <row r="13" spans="1:6" ht="12.75">
      <c r="A13" s="6" t="s">
        <v>236</v>
      </c>
      <c r="B13" s="42">
        <v>0</v>
      </c>
      <c r="C13" s="42">
        <v>3.1123287671232878</v>
      </c>
      <c r="D13" s="42">
        <v>0</v>
      </c>
      <c r="E13" s="42">
        <v>0</v>
      </c>
      <c r="F13" s="42">
        <v>0</v>
      </c>
    </row>
    <row r="14" spans="1:6" ht="12.75">
      <c r="A14" s="6" t="s">
        <v>241</v>
      </c>
      <c r="B14" s="42">
        <v>0</v>
      </c>
      <c r="C14" s="42">
        <v>44.620696638000055</v>
      </c>
      <c r="D14" s="42">
        <v>0</v>
      </c>
      <c r="E14" s="42">
        <v>0</v>
      </c>
      <c r="F14" s="42">
        <v>0</v>
      </c>
    </row>
    <row r="15" spans="1:6" ht="12.75">
      <c r="A15" s="6" t="s">
        <v>242</v>
      </c>
      <c r="B15" s="42">
        <v>0</v>
      </c>
      <c r="C15" s="47">
        <v>17.6</v>
      </c>
      <c r="D15" s="42">
        <v>0</v>
      </c>
      <c r="E15" s="42">
        <v>0</v>
      </c>
      <c r="F15" s="42">
        <v>0</v>
      </c>
    </row>
    <row r="16" spans="1:6" ht="12.75">
      <c r="A16" s="6" t="s">
        <v>243</v>
      </c>
      <c r="B16" s="42">
        <v>0</v>
      </c>
      <c r="C16" s="47">
        <v>-0.2136986301369863</v>
      </c>
      <c r="D16" s="42">
        <v>0</v>
      </c>
      <c r="E16" s="42">
        <v>0</v>
      </c>
      <c r="F16" s="42">
        <v>0</v>
      </c>
    </row>
    <row r="17" spans="1:6" ht="12.75">
      <c r="A17" s="19" t="s">
        <v>21</v>
      </c>
      <c r="B17" s="43">
        <f>SUM(B13:B16)</f>
        <v>0</v>
      </c>
      <c r="C17" s="43">
        <f>SUM(C13:C16)</f>
        <v>65.11932677498636</v>
      </c>
      <c r="D17" s="43">
        <f>SUM(D13:D16)</f>
        <v>0</v>
      </c>
      <c r="E17" s="43">
        <f>SUM(E13:E16)</f>
        <v>0</v>
      </c>
      <c r="F17" s="43">
        <f>SUM(F13:F16)</f>
        <v>0</v>
      </c>
    </row>
    <row r="18" spans="1:6" ht="12.75">
      <c r="A18" s="57" t="s">
        <v>244</v>
      </c>
      <c r="B18" s="57"/>
      <c r="C18" s="57"/>
      <c r="D18" s="57"/>
      <c r="E18" s="57"/>
      <c r="F18" s="57"/>
    </row>
    <row r="19" spans="1:6" ht="12.75">
      <c r="A19" s="6" t="s">
        <v>236</v>
      </c>
      <c r="B19" s="42">
        <v>0</v>
      </c>
      <c r="C19" s="42">
        <v>0.8263013698630137</v>
      </c>
      <c r="D19" s="42">
        <v>0</v>
      </c>
      <c r="E19" s="42">
        <v>0</v>
      </c>
      <c r="F19" s="42">
        <v>0</v>
      </c>
    </row>
    <row r="20" spans="1:6" ht="12.75">
      <c r="A20" s="6" t="s">
        <v>245</v>
      </c>
      <c r="B20" s="42">
        <v>0</v>
      </c>
      <c r="C20" s="42">
        <v>30.976000000000003</v>
      </c>
      <c r="D20" s="42">
        <v>0</v>
      </c>
      <c r="E20" s="42">
        <v>0</v>
      </c>
      <c r="F20" s="42">
        <v>0</v>
      </c>
    </row>
    <row r="21" spans="1:6" ht="12.75">
      <c r="A21" s="19" t="s">
        <v>21</v>
      </c>
      <c r="B21" s="43">
        <f>SUM(B19:B20)</f>
        <v>0</v>
      </c>
      <c r="C21" s="43">
        <f>SUM(C19:C20)</f>
        <v>31.802301369863017</v>
      </c>
      <c r="D21" s="43">
        <f>SUM(D19:D20)</f>
        <v>0</v>
      </c>
      <c r="E21" s="43">
        <f>SUM(E19:E20)</f>
        <v>0</v>
      </c>
      <c r="F21" s="43">
        <f>SUM(F19:F20)</f>
        <v>0</v>
      </c>
    </row>
    <row r="22" spans="1:6" ht="12.75">
      <c r="A22" s="57" t="s">
        <v>246</v>
      </c>
      <c r="B22" s="57"/>
      <c r="C22" s="57"/>
      <c r="D22" s="57"/>
      <c r="E22" s="57"/>
      <c r="F22" s="57"/>
    </row>
    <row r="23" spans="1:6" ht="12.75">
      <c r="A23" s="6" t="s">
        <v>236</v>
      </c>
      <c r="B23" s="43">
        <v>0</v>
      </c>
      <c r="C23" s="43">
        <v>4.979726027397261</v>
      </c>
      <c r="D23" s="43">
        <v>0</v>
      </c>
      <c r="E23" s="43">
        <v>0</v>
      </c>
      <c r="F23" s="43">
        <v>0</v>
      </c>
    </row>
    <row r="24" spans="1:6" ht="12.75">
      <c r="A24" s="57" t="s">
        <v>247</v>
      </c>
      <c r="B24" s="57"/>
      <c r="C24" s="57"/>
      <c r="D24" s="57"/>
      <c r="E24" s="57"/>
      <c r="F24" s="57"/>
    </row>
    <row r="25" spans="1:6" ht="12.75">
      <c r="A25" s="6" t="s">
        <v>236</v>
      </c>
      <c r="B25" s="43">
        <v>0</v>
      </c>
      <c r="C25" s="43">
        <v>2.1616438356164385</v>
      </c>
      <c r="D25" s="43">
        <v>0</v>
      </c>
      <c r="E25" s="43">
        <v>0</v>
      </c>
      <c r="F25" s="43">
        <v>0</v>
      </c>
    </row>
    <row r="26" spans="1:6" ht="12.75">
      <c r="A26" s="57" t="s">
        <v>248</v>
      </c>
      <c r="B26" s="57"/>
      <c r="C26" s="57"/>
      <c r="D26" s="57"/>
      <c r="E26" s="57"/>
      <c r="F26" s="57"/>
    </row>
    <row r="27" spans="1:6" ht="12.75">
      <c r="A27" s="6" t="s">
        <v>236</v>
      </c>
      <c r="B27" s="43">
        <v>0</v>
      </c>
      <c r="C27" s="43">
        <v>0.8531506849315069</v>
      </c>
      <c r="D27" s="43">
        <v>0</v>
      </c>
      <c r="E27" s="43">
        <v>0</v>
      </c>
      <c r="F27" s="43">
        <v>0</v>
      </c>
    </row>
    <row r="28" spans="1:6" ht="12.75">
      <c r="A28" s="57" t="s">
        <v>249</v>
      </c>
      <c r="B28" s="57"/>
      <c r="C28" s="57"/>
      <c r="D28" s="57"/>
      <c r="E28" s="57"/>
      <c r="F28" s="57"/>
    </row>
    <row r="29" spans="1:6" ht="12.75">
      <c r="A29" s="6" t="s">
        <v>236</v>
      </c>
      <c r="B29" s="43">
        <v>0</v>
      </c>
      <c r="C29" s="43">
        <v>0.8531506849315069</v>
      </c>
      <c r="D29" s="43">
        <v>0</v>
      </c>
      <c r="E29" s="43">
        <v>0</v>
      </c>
      <c r="F29" s="43">
        <v>0</v>
      </c>
    </row>
    <row r="30" spans="1:6" ht="12.75">
      <c r="A30" s="19" t="s">
        <v>250</v>
      </c>
      <c r="B30" s="43">
        <f>B9+B11+B17+B21+B23+B25+B27+B29</f>
        <v>0</v>
      </c>
      <c r="C30" s="43">
        <f>C9+C11+C17+C21+C23+C25+C27+C29</f>
        <v>83.35359347334254</v>
      </c>
      <c r="D30" s="43">
        <f>D9+D11+D17+D21+D23+D25+D27+D29</f>
        <v>0</v>
      </c>
      <c r="E30" s="43">
        <f>E9+E11+E17+E21+E23+E25+E27+E29</f>
        <v>10</v>
      </c>
      <c r="F30" s="43">
        <f>F9+F11+F17+F21+F23+F25+F27+F29</f>
        <v>0</v>
      </c>
    </row>
    <row r="31" spans="1:6" ht="12.75">
      <c r="A31" s="19" t="s">
        <v>251</v>
      </c>
      <c r="B31" s="6"/>
      <c r="C31" s="6"/>
      <c r="D31" s="43">
        <f>D9</f>
        <v>0</v>
      </c>
      <c r="E31" s="43">
        <f>E9</f>
        <v>10</v>
      </c>
      <c r="F31" s="6"/>
    </row>
    <row r="32" spans="1:6" ht="12.75">
      <c r="A32" s="57" t="s">
        <v>252</v>
      </c>
      <c r="B32" s="57"/>
      <c r="C32" s="57"/>
      <c r="D32" s="57"/>
      <c r="E32" s="57"/>
      <c r="F32" s="57"/>
    </row>
    <row r="33" spans="1:6" ht="12.75">
      <c r="A33" s="6" t="s">
        <v>253</v>
      </c>
      <c r="B33" s="48">
        <v>7.390652557319224</v>
      </c>
      <c r="C33" s="48">
        <v>0.8884479717813051</v>
      </c>
      <c r="D33" s="48">
        <v>0.9497354497354498</v>
      </c>
      <c r="E33" s="44">
        <v>0</v>
      </c>
      <c r="F33" s="48">
        <v>0.4499895097320388</v>
      </c>
    </row>
    <row r="34" spans="1:6" ht="12.75">
      <c r="A34" s="6" t="s">
        <v>254</v>
      </c>
      <c r="B34" s="47">
        <v>34.45176366843033</v>
      </c>
      <c r="C34" s="47">
        <v>5.400617283950616</v>
      </c>
      <c r="D34" s="47">
        <v>48.28553791887124</v>
      </c>
      <c r="E34" s="42">
        <v>0</v>
      </c>
      <c r="F34" s="47">
        <v>56.93866430907664</v>
      </c>
    </row>
    <row r="35" spans="1:6" ht="12.75">
      <c r="A35" s="19" t="s">
        <v>255</v>
      </c>
      <c r="B35" s="49">
        <f>SUM(B33:B34)</f>
        <v>41.84241622574955</v>
      </c>
      <c r="C35" s="49">
        <f>SUM(C33:C34)</f>
        <v>6.289065255731922</v>
      </c>
      <c r="D35" s="49">
        <f>SUM(D33:D34)</f>
        <v>49.23527336860669</v>
      </c>
      <c r="E35" s="49">
        <f>SUM(E33:E34)</f>
        <v>0</v>
      </c>
      <c r="F35" s="49">
        <f>SUM(F33:F34)</f>
        <v>57.388653818808685</v>
      </c>
    </row>
    <row r="37" spans="1:6" ht="12.75">
      <c r="A37" s="55" t="s">
        <v>183</v>
      </c>
      <c r="B37" s="55"/>
      <c r="C37" s="55"/>
      <c r="D37" s="55"/>
      <c r="E37" s="55"/>
      <c r="F37" s="55"/>
    </row>
    <row r="38" spans="1:6" ht="26.25" customHeight="1">
      <c r="A38" s="56" t="s">
        <v>261</v>
      </c>
      <c r="B38" s="58"/>
      <c r="C38" s="58"/>
      <c r="D38" s="58"/>
      <c r="E38" s="58"/>
      <c r="F38" s="58"/>
    </row>
    <row r="39" spans="1:6" ht="28.5">
      <c r="A39" s="15" t="s">
        <v>260</v>
      </c>
      <c r="B39" s="15" t="s">
        <v>229</v>
      </c>
      <c r="C39" s="15" t="s">
        <v>230</v>
      </c>
      <c r="D39" s="15" t="s">
        <v>256</v>
      </c>
      <c r="E39" s="15" t="s">
        <v>257</v>
      </c>
      <c r="F39" s="15" t="s">
        <v>258</v>
      </c>
    </row>
    <row r="40" spans="1:6" ht="26.25">
      <c r="A40" s="45" t="s">
        <v>262</v>
      </c>
      <c r="B40" s="42">
        <v>41.84241622574955</v>
      </c>
      <c r="C40" s="42">
        <v>85.8738916057868</v>
      </c>
      <c r="D40" s="42">
        <v>49.23527336860669</v>
      </c>
      <c r="E40" s="42">
        <v>10</v>
      </c>
      <c r="F40" s="42">
        <v>57.388653818808685</v>
      </c>
    </row>
    <row r="41" spans="1:6" ht="39">
      <c r="A41" s="45" t="s">
        <v>263</v>
      </c>
      <c r="B41" s="42">
        <f>B30+B35</f>
        <v>41.84241622574955</v>
      </c>
      <c r="C41" s="42">
        <f>C30+C35</f>
        <v>89.64265872907447</v>
      </c>
      <c r="D41" s="42">
        <f>D30+D35</f>
        <v>49.23527336860669</v>
      </c>
      <c r="E41" s="42">
        <f>E30+E35</f>
        <v>10</v>
      </c>
      <c r="F41" s="42">
        <f>F30+F35</f>
        <v>57.388653818808685</v>
      </c>
    </row>
    <row r="42" spans="1:6" ht="12.75">
      <c r="A42" s="6" t="s">
        <v>264</v>
      </c>
      <c r="B42" s="43">
        <f>B41-B40</f>
        <v>0</v>
      </c>
      <c r="C42" s="43">
        <f>C41-C40</f>
        <v>3.768767123287674</v>
      </c>
      <c r="D42" s="43">
        <f>D41-D40</f>
        <v>0</v>
      </c>
      <c r="E42" s="43">
        <f>E41-E40</f>
        <v>0</v>
      </c>
      <c r="F42" s="43">
        <f>F41-F40</f>
        <v>0</v>
      </c>
    </row>
    <row r="43" spans="1:6" ht="27.75" customHeight="1">
      <c r="A43" s="45" t="s">
        <v>265</v>
      </c>
      <c r="B43" s="7" t="s">
        <v>203</v>
      </c>
      <c r="C43" s="7" t="s">
        <v>203</v>
      </c>
      <c r="D43" s="7" t="s">
        <v>203</v>
      </c>
      <c r="E43" s="7" t="s">
        <v>203</v>
      </c>
      <c r="F43" s="7" t="s">
        <v>203</v>
      </c>
    </row>
  </sheetData>
  <sheetProtection/>
  <mergeCells count="14">
    <mergeCell ref="A37:F37"/>
    <mergeCell ref="A38:F38"/>
    <mergeCell ref="A24:F24"/>
    <mergeCell ref="A26:F26"/>
    <mergeCell ref="A28:F28"/>
    <mergeCell ref="A32:F32"/>
    <mergeCell ref="A10:F10"/>
    <mergeCell ref="A12:F12"/>
    <mergeCell ref="A18:F18"/>
    <mergeCell ref="A22:F22"/>
    <mergeCell ref="A1:F1"/>
    <mergeCell ref="A2:F2"/>
    <mergeCell ref="A4:F4"/>
    <mergeCell ref="A5:F5"/>
  </mergeCells>
  <printOptions horizontalCentered="1"/>
  <pageMargins left="0.75" right="0.75" top="1" bottom="1" header="0.5" footer="0.5"/>
  <pageSetup fitToHeight="99" horizontalDpi="300" verticalDpi="300" orientation="portrait" r:id="rId1"/>
  <headerFooter alignWithMargins="0">
    <oddFooter>&amp;CC.1-&amp;P&amp;RApril 2005 Addendum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Heisler</dc:creator>
  <cp:keywords/>
  <dc:description/>
  <cp:lastModifiedBy>dsasaki</cp:lastModifiedBy>
  <cp:lastPrinted>2005-03-31T19:26:12Z</cp:lastPrinted>
  <dcterms:created xsi:type="dcterms:W3CDTF">2004-03-16T18:07:43Z</dcterms:created>
  <dcterms:modified xsi:type="dcterms:W3CDTF">2014-08-06T19:20:55Z</dcterms:modified>
  <cp:category/>
  <cp:version/>
  <cp:contentType/>
  <cp:contentStatus/>
</cp:coreProperties>
</file>