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4" windowWidth="7680" windowHeight="8580" tabRatio="800" activeTab="1"/>
  </bookViews>
  <sheets>
    <sheet name="Cover" sheetId="1" r:id="rId1"/>
    <sheet name="TOC" sheetId="2" r:id="rId2"/>
    <sheet name="CE Emission Factor Calcs" sheetId="3" r:id="rId3"/>
    <sheet name="ConstEquip 12-06" sheetId="4" r:id="rId4"/>
    <sheet name="ConstEquip 06-07" sheetId="5" r:id="rId5"/>
    <sheet name="ConstEquip 11-07" sheetId="6" r:id="rId6"/>
    <sheet name="ConstEquip 01-08" sheetId="7" r:id="rId7"/>
    <sheet name="ConstEquip 02-08" sheetId="8" r:id="rId8"/>
    <sheet name="ConstTripEmiss 12-06" sheetId="9" r:id="rId9"/>
    <sheet name="ConstTripEmiss 06-07" sheetId="10" r:id="rId10"/>
    <sheet name="ConstTripEmiss 11-07" sheetId="11" r:id="rId11"/>
    <sheet name="ConstTripEmiss 01-08" sheetId="12" r:id="rId12"/>
    <sheet name="ConstTripEmiss 02-08" sheetId="13" r:id="rId13"/>
    <sheet name="FugitiveConstEF 12-06" sheetId="14" r:id="rId14"/>
    <sheet name="FugitiveConstEF 06-07" sheetId="15" r:id="rId15"/>
    <sheet name="FugitiveConstEF 11-07" sheetId="16" r:id="rId16"/>
    <sheet name="FugitiveConstEF 01-08" sheetId="17" r:id="rId17"/>
    <sheet name="FugitiveConstEF 02-08" sheetId="18" r:id="rId18"/>
    <sheet name="FugitiveEmiss 12-06" sheetId="19" r:id="rId19"/>
    <sheet name="FugitiveEmiss 06-07" sheetId="20" r:id="rId20"/>
    <sheet name="FugitiveEmiss 11-07" sheetId="21" r:id="rId21"/>
    <sheet name="FugitiveEmiss 01-08" sheetId="22" r:id="rId22"/>
    <sheet name="FugitiveEmiss 02-08" sheetId="23" r:id="rId23"/>
    <sheet name="Fugitive Paint" sheetId="24" r:id="rId24"/>
    <sheet name="Construction Summary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uxfuel">'[1]Vessel TAC Modeling Inputs'!$H$9</definedName>
    <definedName name="auxhours">'[1]Vessel TAC Modeling Inputs'!$G$9</definedName>
    <definedName name="baselinetanks">'[2]Baseline Tank VOCs'!$A$1:$BS$42</definedName>
    <definedName name="EF">'CE Emission Factor Calcs'!$B:$O</definedName>
    <definedName name="maxannual">'[1]Vessel TAC Modeling Inputs'!$B$10</definedName>
    <definedName name="maxglc">'[1]Vessel GLC and Background Calcs'!$D$26</definedName>
    <definedName name="maxhourly">'[1]Vessel TAC Modeling Inputs'!$B$9</definedName>
    <definedName name="postprojectefrtanks">'[2]Post Project Tanks - EFR'!$A$1:$BS$28</definedName>
    <definedName name="postprojectfixedtanks">'[2]Post Project Tanks - Fixed'!$A$1:$BS$11</definedName>
    <definedName name="_xlnm.Print_Area" localSheetId="24">'Construction Summary'!$A$1:$G$71</definedName>
    <definedName name="_xlnm.Print_Area" localSheetId="11">'ConstTripEmiss 01-08'!$A$1:$M$37</definedName>
    <definedName name="_xlnm.Print_Area" localSheetId="12">'ConstTripEmiss 02-08'!$A$1:$M$37</definedName>
    <definedName name="_xlnm.Print_Area" localSheetId="9">'ConstTripEmiss 06-07'!$A$1:$M$37</definedName>
    <definedName name="_xlnm.Print_Area" localSheetId="10">'ConstTripEmiss 11-07'!$A$1:$M$37</definedName>
    <definedName name="_xlnm.Print_Area" localSheetId="8">'ConstTripEmiss 12-06'!$A$1:$M$37</definedName>
    <definedName name="projecttankemissions" localSheetId="23">#REF!</definedName>
    <definedName name="projecttankemissions">#REF!</definedName>
    <definedName name="stackflow56h1" localSheetId="23">'[3]Combustion Source Test Data'!#REF!</definedName>
    <definedName name="stackflow56h1">'[4]Combustion Source Test Data'!#REF!</definedName>
    <definedName name="Tank_Emissions_Data">'[5]Tank Summary'!$A$1:$Q$42</definedName>
    <definedName name="Tank_ID" localSheetId="23">#REF!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<sst xmlns="http://schemas.openxmlformats.org/spreadsheetml/2006/main" count="1233" uniqueCount="248">
  <si>
    <t>CO</t>
  </si>
  <si>
    <t>VOC</t>
  </si>
  <si>
    <t>NOx</t>
  </si>
  <si>
    <t>PM10</t>
  </si>
  <si>
    <t>Total</t>
  </si>
  <si>
    <t xml:space="preserve"> </t>
  </si>
  <si>
    <t>SOx</t>
  </si>
  <si>
    <t>Fugitive Construction</t>
  </si>
  <si>
    <t>Average Pieces of Equipment Operating</t>
  </si>
  <si>
    <t>Peak Pieces of Equipment Operating</t>
  </si>
  <si>
    <t>Hours of Operation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</si>
  <si>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</si>
  <si>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</si>
  <si>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</si>
  <si>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</si>
  <si>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</si>
  <si>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</si>
  <si>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</si>
  <si>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</si>
  <si>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</si>
  <si>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</si>
  <si>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</si>
  <si>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</si>
  <si>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</si>
  <si>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</si>
  <si>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</si>
  <si>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</si>
  <si>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</si>
  <si>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</si>
  <si>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</si>
  <si>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Table A9-9-E</t>
  </si>
  <si>
    <t>Average</t>
  </si>
  <si>
    <t>Peak</t>
  </si>
  <si>
    <t>(Controlled Emissions)</t>
  </si>
  <si>
    <t>Construction</t>
  </si>
  <si>
    <t>(Uncontrolled Emissions)</t>
  </si>
  <si>
    <t xml:space="preserve"> Fugitive Dust Construction Emission Estimates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</si>
  <si>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</si>
  <si>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</si>
  <si>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</si>
  <si>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</si>
  <si>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</si>
  <si>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</si>
  <si>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</si>
  <si>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</si>
  <si>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</si>
  <si>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</si>
  <si>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Trucks on Paved Roadways</t>
  </si>
  <si>
    <t>Diesel</t>
  </si>
  <si>
    <t>Vehicle Type</t>
  </si>
  <si>
    <t>Construction Workers Commuting</t>
  </si>
  <si>
    <t>Parameters</t>
  </si>
  <si>
    <t>Peak Day Emissions, lbs/day</t>
  </si>
  <si>
    <t>Source</t>
  </si>
  <si>
    <t>Total Emissions for Light Duty Trucks</t>
  </si>
  <si>
    <t>Total Emissions for Heavy Diesel Trucks</t>
  </si>
  <si>
    <t>Construction Equipment</t>
  </si>
  <si>
    <t>Equipment Type</t>
  </si>
  <si>
    <t xml:space="preserve">Hours </t>
  </si>
  <si>
    <t>Emission Factors lb/hr</t>
  </si>
  <si>
    <t>Daily Emissions (lbs/day)</t>
  </si>
  <si>
    <t>Per Day</t>
  </si>
  <si>
    <t>Front End Loader</t>
  </si>
  <si>
    <t>Total Emission Totals</t>
  </si>
  <si>
    <t>TOTAL EMISSIONS</t>
  </si>
  <si>
    <r>
      <t>Construction Activities</t>
    </r>
    <r>
      <rPr>
        <vertAlign val="superscript"/>
        <sz val="10"/>
        <rFont val="Arial"/>
        <family val="2"/>
      </rPr>
      <t>(1)</t>
    </r>
  </si>
  <si>
    <r>
      <t>Construction Activities</t>
    </r>
    <r>
      <rPr>
        <vertAlign val="superscript"/>
        <sz val="10"/>
        <rFont val="Arial"/>
        <family val="2"/>
      </rPr>
      <t>(2)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</si>
  <si>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</si>
  <si>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</si>
  <si>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TRUCK FILLING/DUMPING</t>
  </si>
  <si>
    <t>Estimated Materials Handled Per Day (tons)</t>
  </si>
  <si>
    <t>Truck Dumping</t>
  </si>
  <si>
    <t>Table A9-9-G</t>
  </si>
  <si>
    <r>
      <t>Truck Filling</t>
    </r>
    <r>
      <rPr>
        <vertAlign val="superscript"/>
        <sz val="10"/>
        <rFont val="Arial"/>
        <family val="2"/>
      </rPr>
      <t>(4)</t>
    </r>
  </si>
  <si>
    <t>(4)  Used SCAQMD Table 9-9 Default emission factors.</t>
  </si>
  <si>
    <t>(3)  Emissions (lbs/day/acre) = 1.7 x [(G/1.5)/(365-H/235)] x I/15 x J; where G = silt content (7.5%); H = days with &gt;0.01 inch of rain (34); I = percentage of time wind speed exceeds 12 mph (50%) and J= fraction of TSP (0.5)</t>
  </si>
  <si>
    <t>Peak PM10 Emissions (lbs/day)</t>
  </si>
  <si>
    <t xml:space="preserve"> PM10 Emission Factor (lb/hour)</t>
  </si>
  <si>
    <t>Average   PM10 Emissions (lbs/day)</t>
  </si>
  <si>
    <t>Peak        PM10 Emissions Pounds/day</t>
  </si>
  <si>
    <t>Average   PM10 Emissions Pounds/day</t>
  </si>
  <si>
    <t>Peak         PM10 Emissions Pounds/day</t>
  </si>
  <si>
    <t>Peak           PM10 Emissions Pounds/day</t>
  </si>
  <si>
    <t>Average   PM10 Emissions Tons/Year</t>
  </si>
  <si>
    <t>Peak         PM10 Emissions Tons/Year</t>
  </si>
  <si>
    <t>PM10 Emission Factor (lb/ton)</t>
  </si>
  <si>
    <t>PM10 Emission Factor (lb/day/acre)</t>
  </si>
  <si>
    <t>TOTAL PM10 Pounds/day</t>
  </si>
  <si>
    <t>Construction Period</t>
  </si>
  <si>
    <t>Vehicle Emissions</t>
  </si>
  <si>
    <t>CONSTRUCTION SUMMARY</t>
  </si>
  <si>
    <r>
      <t>(2)  Emissions (lbs/ton) = 0.00112 x [(G/5)</t>
    </r>
    <r>
      <rPr>
        <vertAlign val="superscript"/>
        <sz val="9"/>
        <rFont val="Arial"/>
        <family val="2"/>
      </rPr>
      <t>1.3</t>
    </r>
    <r>
      <rPr>
        <sz val="9"/>
        <rFont val="Arial"/>
        <family val="2"/>
      </rPr>
      <t>/(H/2)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] x I/J; where G=mean wind speed (12 mph), H=moisture content of surface material (2%); I=lbs of dirt handled per day (100,000 lbs); and J=2,000 lbs/ton</t>
    </r>
  </si>
  <si>
    <t>Fugitive Road Dust</t>
  </si>
  <si>
    <t>SCAQMD Thresholds</t>
  </si>
  <si>
    <t>Significant</t>
  </si>
  <si>
    <t>Boom Trucks</t>
  </si>
  <si>
    <t>CO Emissions Factor (lb/mile)</t>
  </si>
  <si>
    <t>VOC Emission Factor (lb/mile)</t>
  </si>
  <si>
    <t>NOx Emissions Factor (lb/mile)</t>
  </si>
  <si>
    <t>SOx Emissions Factor (lb/mile)</t>
  </si>
  <si>
    <t>PM10 Emissions Factor (lb/mile)</t>
  </si>
  <si>
    <t>CO Emissions</t>
  </si>
  <si>
    <t>VOC Emissions</t>
  </si>
  <si>
    <t>NOx Emissions</t>
  </si>
  <si>
    <t>SOx Emissions</t>
  </si>
  <si>
    <t>PM10 Emissions</t>
  </si>
  <si>
    <t>Total Emissions for Construction Workers</t>
  </si>
  <si>
    <t>Bus</t>
  </si>
  <si>
    <t>Buses</t>
  </si>
  <si>
    <t>Total Emissions for Buses</t>
  </si>
  <si>
    <t>Excavator</t>
  </si>
  <si>
    <t>On-site cars</t>
  </si>
  <si>
    <t>Light Duty Trucks on Paved Roadways</t>
  </si>
  <si>
    <t>Paint Primer Architectural Coating Emissions</t>
  </si>
  <si>
    <t>Activity</t>
  </si>
  <si>
    <t>Amount</t>
  </si>
  <si>
    <t>Notes</t>
  </si>
  <si>
    <t>Volume Applied (gallons/day)</t>
  </si>
  <si>
    <t>VOC Content (lb/gallon)</t>
  </si>
  <si>
    <t>SCAQMD Rule 1113 Limit</t>
  </si>
  <si>
    <t>VOC Emissions (lbs/day)</t>
  </si>
  <si>
    <t>* Emission Calculations from SCAQMD CEQA Air Quality Handbook, Table A9-9</t>
  </si>
  <si>
    <t>Architectural Coatings</t>
  </si>
  <si>
    <t>REFINERY CONSTRUCTION</t>
  </si>
  <si>
    <t>Total Emissions (lbs/day)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</si>
  <si>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1.5</t>
    </r>
    <r>
      <rPr>
        <sz val="8"/>
        <rFont val="Arial"/>
        <family val="2"/>
      </rPr>
      <t xml:space="preserve">  - C</t>
    </r>
  </si>
  <si>
    <t>and 20 for heavy trucks), and C = emission factor for 1980's vehicle fleet exhaust, brake wear and tire wear (0.00047 lbs/VMT).</t>
  </si>
  <si>
    <t>Peak Value</t>
  </si>
  <si>
    <t>Totals</t>
  </si>
  <si>
    <t>Delivery Trucks</t>
  </si>
  <si>
    <t>(5)  Mitigated Emissions assume that watering 3 times per day controls emissions by 66 percent (Uncontrolled Emissions x 0.34)</t>
  </si>
  <si>
    <r>
      <t>Mitigated Emissions (assumes water 3 times/day)</t>
    </r>
    <r>
      <rPr>
        <vertAlign val="superscript"/>
        <sz val="10"/>
        <rFont val="Arial"/>
        <family val="2"/>
      </rPr>
      <t>(5)</t>
    </r>
  </si>
  <si>
    <t>* Emission Calculations for travel on paved roads from EPA AP-42 Section 13.2.1, December 2003</t>
  </si>
  <si>
    <t>Backhoe Case 580</t>
  </si>
  <si>
    <t>Bobcat Mod. 873</t>
  </si>
  <si>
    <t>Drill Rig Large</t>
  </si>
  <si>
    <t>Temp. Light Plants</t>
  </si>
  <si>
    <t>Tractor/40' Float</t>
  </si>
  <si>
    <t>Welding Machine 300 Amp</t>
  </si>
  <si>
    <t>Crane</t>
  </si>
  <si>
    <t>Compressor</t>
  </si>
  <si>
    <t>Concrete Saw</t>
  </si>
  <si>
    <t>Manlift</t>
  </si>
  <si>
    <t>Water Truck</t>
  </si>
  <si>
    <t>Crane (Large)</t>
  </si>
  <si>
    <t>Forklift</t>
  </si>
  <si>
    <t>Construction Equipment - February 2008</t>
  </si>
  <si>
    <t>Hp</t>
  </si>
  <si>
    <r>
      <t>Load</t>
    </r>
    <r>
      <rPr>
        <b/>
        <vertAlign val="superscript"/>
        <sz val="10"/>
        <rFont val="Arial"/>
        <family val="2"/>
      </rPr>
      <t>(1)</t>
    </r>
  </si>
  <si>
    <r>
      <t>Emission Factors lb/hp-hr</t>
    </r>
    <r>
      <rPr>
        <b/>
        <vertAlign val="superscript"/>
        <sz val="10"/>
        <rFont val="Arial"/>
        <family val="2"/>
      </rPr>
      <t>(2)</t>
    </r>
  </si>
  <si>
    <t>(1) Default load factors from SCAQMD CEQA Air Quality Handbook, Table 9-8-D.</t>
  </si>
  <si>
    <t>(2) Emission factors from SCAQMD CEQA Air Quality Handbook, Table 9-8-B, unless otherwise noted.</t>
  </si>
  <si>
    <r>
      <t>Emission Factors lb/hr</t>
    </r>
    <r>
      <rPr>
        <b/>
        <vertAlign val="superscript"/>
        <sz val="10"/>
        <rFont val="Arial"/>
        <family val="2"/>
      </rPr>
      <t>(3)</t>
    </r>
  </si>
  <si>
    <t>(3)Emission Factor (lbs/hr) = Hp x Load x emission factor (lbs/hp-hr).</t>
  </si>
  <si>
    <t>Flatbed Trucks</t>
  </si>
  <si>
    <t>Stakebed Trucks</t>
  </si>
  <si>
    <t>Pickup Trucks</t>
  </si>
  <si>
    <t>Distance Traveled per Trip</t>
  </si>
  <si>
    <t>Distance Traveled per Day</t>
  </si>
  <si>
    <t>Trips per Day per Vehicle</t>
  </si>
  <si>
    <t>Number of Vehicles per Day</t>
  </si>
  <si>
    <t>Peak Day Emissions = Emission Factor x Distance Travelled per Day</t>
  </si>
  <si>
    <t>On Road Mobile Emission Factors from California ARB EMFAC2002 Scenario Year 2008 (Model Years 1965 to 2008)</t>
  </si>
  <si>
    <t>Trucks on Paved Roadways - Onsite</t>
  </si>
  <si>
    <r>
      <t>(1)  Emissions (lbs/hr) = [0.75 x (G</t>
    </r>
    <r>
      <rPr>
        <vertAlign val="superscript"/>
        <sz val="9"/>
        <rFont val="Arial"/>
        <family val="2"/>
      </rPr>
      <t>1.5</t>
    </r>
    <r>
      <rPr>
        <sz val="9"/>
        <rFont val="Arial"/>
        <family val="2"/>
      </rPr>
      <t>)/(H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) x J; where G = silt content (7.5%), H = moisture content (2.0%) and J = hrs of operation (EPA AP-42 Table 11.9-1 for bulldozing overburden).</t>
    </r>
  </si>
  <si>
    <r>
      <t>Generator</t>
    </r>
    <r>
      <rPr>
        <vertAlign val="superscript"/>
        <sz val="10"/>
        <rFont val="Arial"/>
        <family val="2"/>
      </rPr>
      <t>(4)</t>
    </r>
  </si>
  <si>
    <r>
      <t>Roll-Off Truck</t>
    </r>
    <r>
      <rPr>
        <vertAlign val="superscript"/>
        <sz val="10"/>
        <rFont val="Arial"/>
        <family val="2"/>
      </rPr>
      <t>(5)</t>
    </r>
  </si>
  <si>
    <t>(5)Emissions factors from SCAQMD CEQA Air Quality Handbook, Table 9-8-A.  Units are in lbs/hr.</t>
  </si>
  <si>
    <t>(4) http://www.aqmd.gov/ceqa/handbook/offroad/offroadEF05_20.xls</t>
  </si>
  <si>
    <t>Construction Equipment - June 2007</t>
  </si>
  <si>
    <t>On Road Mobile Emission Factors from California ARB EMFAC2002 Scenario Year 2007 (Model Years 1965 to 2008)</t>
  </si>
  <si>
    <t>Construction Equipment - November 2007</t>
  </si>
  <si>
    <t>On Road Mobile Emission Factors from California ARB EMFAC2002 Scenario Year 2006 (Model Years 1965 to 2008)</t>
  </si>
  <si>
    <t>Estimated Emissions - 12/06</t>
  </si>
  <si>
    <t>Estimated Emissions - 6/07</t>
  </si>
  <si>
    <t>Estimated Emissions - 11/07</t>
  </si>
  <si>
    <t>Estimated Emissions - 1/08</t>
  </si>
  <si>
    <t>Estimated Emissions - 2/08</t>
  </si>
  <si>
    <t>Construction Equipment - December 2006</t>
  </si>
  <si>
    <t>Construction Equipment - January 2008</t>
  </si>
  <si>
    <t>From Trucks and Employee Vehicles - December 2006</t>
  </si>
  <si>
    <t>From Trucks and Employee Vehicles - June 2007</t>
  </si>
  <si>
    <t>From Trucks and Employee Vehicles - November 2007</t>
  </si>
  <si>
    <t>From Trucks and Employee Vehicles - January 2008</t>
  </si>
  <si>
    <t>From Trucks and Employee Vehicles - February 2008</t>
  </si>
  <si>
    <t>Emission Estimates - December 2006</t>
  </si>
  <si>
    <t>Emission Estimates - June 2007</t>
  </si>
  <si>
    <t>Emission Estimates - November 2007</t>
  </si>
  <si>
    <t>Emission Estimates - January 2008</t>
  </si>
  <si>
    <t>Emission Estimates - February 2008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</si>
  <si>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</si>
  <si>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</si>
  <si>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</si>
  <si>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</si>
  <si>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</si>
  <si>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</si>
  <si>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</si>
  <si>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</si>
  <si>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</si>
  <si>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</si>
  <si>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</si>
  <si>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</si>
  <si>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</si>
  <si>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</si>
  <si>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</si>
  <si>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</si>
  <si>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</si>
  <si>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</si>
  <si>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</si>
  <si>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</si>
  <si>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</si>
  <si>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</si>
  <si>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</si>
  <si>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Generator</t>
  </si>
  <si>
    <t>Roll-Off Truck</t>
  </si>
  <si>
    <t>Based on California ARB EMFAC2002 model years 1965-2008, state-wide annual simple averages (www.aqmd.gov/ceqa/handbook/onroadEF03_25.xls)</t>
  </si>
  <si>
    <t>APPENDIX C</t>
  </si>
  <si>
    <t>CONSTRUCTION EMISSIONS FOR</t>
  </si>
  <si>
    <t>ALTERNATIVE CONSTRUCTION SCHEDULE</t>
  </si>
  <si>
    <t>TABLE OF CONTENTS</t>
  </si>
  <si>
    <t>BP CARSON REFINERY</t>
  </si>
  <si>
    <t>SAFETY, COMPLIANCE, AND OPTIMIZATION PROJECT</t>
  </si>
  <si>
    <t>APPENDIX B</t>
  </si>
  <si>
    <t>PEAK EMISSION CALCULATIONS</t>
  </si>
  <si>
    <t>Table No.</t>
  </si>
  <si>
    <t>Page No.</t>
  </si>
  <si>
    <t>Construction Equipment Emissions Factors - Construction Equipment</t>
  </si>
  <si>
    <t>Construction Equipment Emissions - December 2006</t>
  </si>
  <si>
    <t>Construction Equipment Emissions - November 2007</t>
  </si>
  <si>
    <t>On-site/Off-site Construction Vehicle Emissions - December 2006</t>
  </si>
  <si>
    <t>On-site/Off-site Construction Vehicle Emissions - November 2007</t>
  </si>
  <si>
    <t>Fugitive Construction Emission Estimates - December 2006</t>
  </si>
  <si>
    <t>Fugitive Construction Emission Estimates - November 2007</t>
  </si>
  <si>
    <t>Construction Summary</t>
  </si>
  <si>
    <t>Construction Equipment Emissions - June 2007</t>
  </si>
  <si>
    <t>Construction Equipment Emissions - January 2008</t>
  </si>
  <si>
    <t>Construction Equipment Emissions - February 2008</t>
  </si>
  <si>
    <t>On-site/Off-site Construction Vehicle Emissions - June 2007</t>
  </si>
  <si>
    <t>On-site/Off-site Construction Vehicle Emissions - January 2008</t>
  </si>
  <si>
    <t>On-site/Off-site Construction Vehicle Emissions - February 2008</t>
  </si>
  <si>
    <t>Fugitive Construction Emission Estimates - June 2007</t>
  </si>
  <si>
    <t>Fugitive Construction Emission Estimates - January 2008</t>
  </si>
  <si>
    <t>Fugitive Construction Emission Estimates - February 2008</t>
  </si>
  <si>
    <t>Fugitive Dust Construction Emission Estimates From Trucks and Employee Vehicles- December 2006</t>
  </si>
  <si>
    <t>Fugitive Dust Construction Emission Estimates From Trucks and Employee Vehicles- June 2007</t>
  </si>
  <si>
    <t>Fugitive Dust Construction Emission Estimates From Trucks and Employee Vehicles- November 2007</t>
  </si>
  <si>
    <t>Fugitive Dust Construction Emission Estimates From Trucks and Employee Vehicles- January 2008</t>
  </si>
  <si>
    <t>Fugitive Dust Construction Emission Estimates From Trucks and Employee Vehicles- February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</si>
</sst>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medium"/>
    </border>
    <border>
      <left style="thin"/>
      <right style="thin"/>
      <top/>
      <bottom style="double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ck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 style="double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/>
      <top style="thick"/>
      <bottom/>
    </border>
    <border>
      <left style="thin"/>
      <right/>
      <top/>
      <bottom style="double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4" xfId="0" applyNumberForma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6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/>
    </xf>
    <xf numFmtId="164" fontId="0" fillId="0" borderId="3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wrapText="1"/>
    </xf>
    <xf numFmtId="2" fontId="0" fillId="0" borderId="26" xfId="0" applyNumberFormat="1" applyBorder="1" applyAlignment="1">
      <alignment/>
    </xf>
    <xf numFmtId="0" fontId="9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/>
    </xf>
    <xf numFmtId="165" fontId="0" fillId="0" borderId="19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0" fillId="0" borderId="18" xfId="0" applyBorder="1" applyAlignment="1">
      <alignment horizontal="center" wrapText="1"/>
    </xf>
    <xf numFmtId="2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/>
    </xf>
    <xf numFmtId="2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4" fillId="0" borderId="18" xfId="0" applyFont="1" applyBorder="1" applyAlignment="1">
      <alignment horizontal="left"/>
    </xf>
    <xf numFmtId="0" fontId="0" fillId="0" borderId="39" xfId="0" applyBorder="1" applyAlignment="1">
      <alignment horizontal="center" wrapText="1"/>
    </xf>
    <xf numFmtId="2" fontId="0" fillId="0" borderId="46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 horizontal="right"/>
    </xf>
    <xf numFmtId="0" fontId="0" fillId="0" borderId="45" xfId="0" applyBorder="1" applyAlignment="1">
      <alignment horizontal="right"/>
    </xf>
    <xf numFmtId="0" fontId="12" fillId="0" borderId="0" xfId="0" applyFont="1" applyAlignment="1">
      <alignment/>
    </xf>
    <xf numFmtId="0" fontId="0" fillId="0" borderId="45" xfId="0" applyBorder="1" applyAlignment="1">
      <alignment horizontal="center"/>
    </xf>
    <xf numFmtId="0" fontId="8" fillId="0" borderId="0" xfId="0" applyFont="1" applyAlignment="1">
      <alignment/>
    </xf>
    <xf numFmtId="164" fontId="0" fillId="0" borderId="45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/>
    </xf>
    <xf numFmtId="2" fontId="0" fillId="0" borderId="49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50" xfId="0" applyBorder="1" applyAlignment="1">
      <alignment wrapText="1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14" xfId="0" applyFont="1" applyBorder="1" applyAlignment="1">
      <alignment wrapText="1"/>
    </xf>
    <xf numFmtId="2" fontId="0" fillId="0" borderId="55" xfId="0" applyNumberFormat="1" applyBorder="1" applyAlignment="1">
      <alignment horizontal="center"/>
    </xf>
    <xf numFmtId="164" fontId="0" fillId="0" borderId="15" xfId="0" applyNumberFormat="1" applyBorder="1" applyAlignment="1" quotePrefix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5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54" xfId="0" applyBorder="1" applyAlignment="1">
      <alignment wrapText="1"/>
    </xf>
    <xf numFmtId="0" fontId="12" fillId="0" borderId="0" xfId="0" applyFont="1" applyAlignment="1">
      <alignment textRotation="180"/>
    </xf>
    <xf numFmtId="0" fontId="0" fillId="0" borderId="0" xfId="0" applyFont="1" applyAlignment="1">
      <alignment/>
    </xf>
    <xf numFmtId="2" fontId="0" fillId="0" borderId="32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42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Fill="1" applyBorder="1" applyAlignment="1">
      <alignment horizontal="center"/>
    </xf>
    <xf numFmtId="1" fontId="0" fillId="0" borderId="52" xfId="0" applyNumberFormat="1" applyBorder="1" applyAlignment="1" quotePrefix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2" fontId="0" fillId="0" borderId="64" xfId="0" applyNumberFormat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2" fontId="0" fillId="0" borderId="65" xfId="0" applyNumberFormat="1" applyBorder="1" applyAlignment="1">
      <alignment horizontal="center"/>
    </xf>
    <xf numFmtId="0" fontId="2" fillId="33" borderId="67" xfId="0" applyFont="1" applyFill="1" applyBorder="1" applyAlignment="1">
      <alignment/>
    </xf>
    <xf numFmtId="0" fontId="2" fillId="34" borderId="68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right"/>
    </xf>
    <xf numFmtId="0" fontId="0" fillId="0" borderId="49" xfId="0" applyBorder="1" applyAlignment="1">
      <alignment horizontal="center"/>
    </xf>
    <xf numFmtId="2" fontId="0" fillId="0" borderId="49" xfId="0" applyNumberFormat="1" applyFill="1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Font="1" applyBorder="1" applyAlignment="1">
      <alignment/>
    </xf>
    <xf numFmtId="2" fontId="0" fillId="0" borderId="41" xfId="0" applyNumberFormat="1" applyBorder="1" applyAlignment="1">
      <alignment/>
    </xf>
    <xf numFmtId="2" fontId="0" fillId="0" borderId="7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71" xfId="0" applyNumberFormat="1" applyBorder="1" applyAlignment="1">
      <alignment/>
    </xf>
    <xf numFmtId="2" fontId="0" fillId="0" borderId="72" xfId="0" applyNumberFormat="1" applyBorder="1" applyAlignment="1">
      <alignment/>
    </xf>
    <xf numFmtId="0" fontId="2" fillId="33" borderId="68" xfId="0" applyFont="1" applyFill="1" applyBorder="1" applyAlignment="1">
      <alignment horizontal="center"/>
    </xf>
    <xf numFmtId="164" fontId="0" fillId="0" borderId="41" xfId="0" applyNumberFormat="1" applyBorder="1" applyAlignment="1">
      <alignment/>
    </xf>
    <xf numFmtId="164" fontId="0" fillId="0" borderId="70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73" xfId="0" applyNumberFormat="1" applyBorder="1" applyAlignment="1">
      <alignment/>
    </xf>
    <xf numFmtId="164" fontId="0" fillId="0" borderId="71" xfId="0" applyNumberFormat="1" applyBorder="1" applyAlignment="1">
      <alignment/>
    </xf>
    <xf numFmtId="164" fontId="0" fillId="0" borderId="72" xfId="0" applyNumberFormat="1" applyBorder="1" applyAlignment="1">
      <alignment/>
    </xf>
    <xf numFmtId="0" fontId="2" fillId="33" borderId="74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5" xfId="0" applyBorder="1" applyAlignment="1">
      <alignment wrapText="1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0" fontId="0" fillId="0" borderId="48" xfId="0" applyBorder="1" applyAlignment="1">
      <alignment horizontal="center" wrapText="1"/>
    </xf>
    <xf numFmtId="167" fontId="0" fillId="0" borderId="64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51" xfId="0" applyBorder="1" applyAlignment="1">
      <alignment/>
    </xf>
    <xf numFmtId="1" fontId="0" fillId="0" borderId="49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77" xfId="0" applyBorder="1" applyAlignment="1">
      <alignment/>
    </xf>
    <xf numFmtId="1" fontId="0" fillId="0" borderId="68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167" fontId="0" fillId="0" borderId="79" xfId="0" applyNumberFormat="1" applyBorder="1" applyAlignment="1">
      <alignment horizontal="center"/>
    </xf>
    <xf numFmtId="167" fontId="0" fillId="0" borderId="55" xfId="0" applyNumberFormat="1" applyBorder="1" applyAlignment="1">
      <alignment horizontal="center"/>
    </xf>
    <xf numFmtId="167" fontId="0" fillId="0" borderId="70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33" borderId="80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33" borderId="83" xfId="0" applyFill="1" applyBorder="1" applyAlignment="1">
      <alignment/>
    </xf>
    <xf numFmtId="0" fontId="0" fillId="0" borderId="76" xfId="0" applyBorder="1" applyAlignment="1">
      <alignment/>
    </xf>
    <xf numFmtId="164" fontId="0" fillId="0" borderId="41" xfId="0" applyNumberFormat="1" applyBorder="1" applyAlignment="1" quotePrefix="1">
      <alignment horizontal="right"/>
    </xf>
    <xf numFmtId="0" fontId="2" fillId="33" borderId="47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5" xfId="0" applyNumberFormat="1" applyFill="1" applyBorder="1" applyAlignment="1">
      <alignment/>
    </xf>
    <xf numFmtId="164" fontId="0" fillId="0" borderId="11" xfId="0" applyNumberFormat="1" applyFont="1" applyBorder="1" applyAlignment="1">
      <alignment horizontal="center"/>
    </xf>
    <xf numFmtId="168" fontId="0" fillId="0" borderId="82" xfId="0" applyNumberFormat="1" applyBorder="1" applyAlignment="1">
      <alignment horizontal="center"/>
    </xf>
    <xf numFmtId="168" fontId="0" fillId="0" borderId="55" xfId="0" applyNumberFormat="1" applyBorder="1" applyAlignment="1">
      <alignment horizontal="center"/>
    </xf>
    <xf numFmtId="168" fontId="0" fillId="0" borderId="84" xfId="0" applyNumberFormat="1" applyBorder="1" applyAlignment="1">
      <alignment horizontal="center"/>
    </xf>
    <xf numFmtId="168" fontId="0" fillId="0" borderId="53" xfId="0" applyNumberFormat="1" applyBorder="1" applyAlignment="1" quotePrefix="1">
      <alignment horizontal="center"/>
    </xf>
    <xf numFmtId="0" fontId="0" fillId="0" borderId="83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89" xfId="0" applyFill="1" applyBorder="1" applyAlignment="1">
      <alignment/>
    </xf>
    <xf numFmtId="0" fontId="0" fillId="0" borderId="8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/>
    </xf>
    <xf numFmtId="2" fontId="0" fillId="35" borderId="15" xfId="0" applyNumberFormat="1" applyFill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22" xfId="0" applyBorder="1" applyAlignment="1">
      <alignment horizontal="left" vertical="center" textRotation="180"/>
    </xf>
    <xf numFmtId="0" fontId="15" fillId="0" borderId="0" xfId="0" applyFont="1" applyAlignment="1">
      <alignment horizontal="center"/>
    </xf>
    <xf numFmtId="0" fontId="16" fillId="0" borderId="2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33" borderId="65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79" xfId="0" applyFont="1" applyFill="1" applyBorder="1" applyAlignment="1">
      <alignment horizontal="center"/>
    </xf>
    <xf numFmtId="0" fontId="12" fillId="0" borderId="0" xfId="0" applyFont="1" applyBorder="1" applyAlignment="1">
      <alignment horizontal="left" textRotation="180"/>
    </xf>
    <xf numFmtId="0" fontId="2" fillId="33" borderId="83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center"/>
    </xf>
    <xf numFmtId="0" fontId="2" fillId="33" borderId="76" xfId="0" applyFont="1" applyFill="1" applyBorder="1" applyAlignment="1">
      <alignment horizontal="center"/>
    </xf>
    <xf numFmtId="2" fontId="0" fillId="0" borderId="90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9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2" xfId="0" applyBorder="1" applyAlignment="1">
      <alignment horizontal="center" vertical="center" wrapText="1"/>
    </xf>
    <xf numFmtId="0" fontId="0" fillId="0" borderId="79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41" xfId="0" applyBorder="1" applyAlignment="1">
      <alignment/>
    </xf>
    <xf numFmtId="2" fontId="0" fillId="0" borderId="44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0" xfId="0" applyBorder="1" applyAlignment="1">
      <alignment/>
    </xf>
    <xf numFmtId="0" fontId="0" fillId="0" borderId="22" xfId="0" applyBorder="1" applyAlignment="1">
      <alignment textRotation="180"/>
    </xf>
    <xf numFmtId="2" fontId="0" fillId="0" borderId="83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left" vertical="center" textRotation="180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0" fillId="0" borderId="22" xfId="0" applyFont="1" applyBorder="1" applyAlignment="1">
      <alignment vertical="top" textRotation="180"/>
    </xf>
    <xf numFmtId="0" fontId="0" fillId="0" borderId="22" xfId="0" applyBorder="1" applyAlignment="1">
      <alignment vertical="top" textRotation="180"/>
    </xf>
    <xf numFmtId="0" fontId="12" fillId="0" borderId="0" xfId="0" applyFont="1" applyAlignment="1">
      <alignment horizontal="center"/>
    </xf>
    <xf numFmtId="17" fontId="9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9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98" xfId="0" applyFill="1" applyBorder="1" applyAlignment="1">
      <alignment/>
    </xf>
    <xf numFmtId="0" fontId="0" fillId="0" borderId="99" xfId="0" applyFill="1" applyBorder="1" applyAlignment="1">
      <alignment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/>
    </xf>
    <xf numFmtId="0" fontId="2" fillId="0" borderId="10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3886200</xdr:colOff>
      <xdr:row>9</xdr:row>
      <xdr:rowOff>133350</xdr:rowOff>
    </xdr:from>
    <xdr:to>
      <xdr:col>3</xdr:col>
      <xdr:colOff>171450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400550" y="15906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3009900</xdr:colOff>
      <xdr:row>10</xdr:row>
      <xdr:rowOff>123825</xdr:rowOff>
    </xdr:from>
    <xdr:to>
      <xdr:col>3</xdr:col>
      <xdr:colOff>180975</xdr:colOff>
      <xdr:row>10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524250" y="17430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11</xdr:row>
      <xdr:rowOff>123825</xdr:rowOff>
    </xdr:from>
    <xdr:to>
      <xdr:col>3</xdr:col>
      <xdr:colOff>171450</xdr:colOff>
      <xdr:row>11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3162300" y="19050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2886075</xdr:colOff>
      <xdr:row>12</xdr:row>
      <xdr:rowOff>123825</xdr:rowOff>
    </xdr:from>
    <xdr:to>
      <xdr:col>3</xdr:col>
      <xdr:colOff>180975</xdr:colOff>
      <xdr:row>12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400425" y="20669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2762250</xdr:colOff>
      <xdr:row>13</xdr:row>
      <xdr:rowOff>123825</xdr:rowOff>
    </xdr:from>
    <xdr:to>
      <xdr:col>3</xdr:col>
      <xdr:colOff>171450</xdr:colOff>
      <xdr:row>13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276600" y="22288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2847975</xdr:colOff>
      <xdr:row>14</xdr:row>
      <xdr:rowOff>123825</xdr:rowOff>
    </xdr:from>
    <xdr:to>
      <xdr:col>3</xdr:col>
      <xdr:colOff>190500</xdr:colOff>
      <xdr:row>14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362325" y="23907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3543300</xdr:colOff>
      <xdr:row>15</xdr:row>
      <xdr:rowOff>123825</xdr:rowOff>
    </xdr:from>
    <xdr:to>
      <xdr:col>3</xdr:col>
      <xdr:colOff>200025</xdr:colOff>
      <xdr:row>15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057650" y="25527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3238500</xdr:colOff>
      <xdr:row>16</xdr:row>
      <xdr:rowOff>123825</xdr:rowOff>
    </xdr:from>
    <xdr:to>
      <xdr:col>3</xdr:col>
      <xdr:colOff>180975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752850" y="27146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2571750</xdr:colOff>
      <xdr:row>30</xdr:row>
      <xdr:rowOff>114300</xdr:rowOff>
    </xdr:from>
    <xdr:to>
      <xdr:col>3</xdr:col>
      <xdr:colOff>104775</xdr:colOff>
      <xdr:row>30</xdr:row>
      <xdr:rowOff>114300</xdr:rowOff>
    </xdr:to>
    <xdr:sp>
      <xdr:nvSpPr>
        <xdr:cNvPr id="9" name="Line 21"/>
        <xdr:cNvSpPr>
          <a:spLocks/>
        </xdr:cNvSpPr>
      </xdr:nvSpPr>
      <xdr:spPr>
        <a:xfrm>
          <a:off x="3086100" y="58293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1343025</xdr:colOff>
      <xdr:row>31</xdr:row>
      <xdr:rowOff>114300</xdr:rowOff>
    </xdr:from>
    <xdr:to>
      <xdr:col>3</xdr:col>
      <xdr:colOff>104775</xdr:colOff>
      <xdr:row>31</xdr:row>
      <xdr:rowOff>114300</xdr:rowOff>
    </xdr:to>
    <xdr:sp>
      <xdr:nvSpPr>
        <xdr:cNvPr id="10" name="Line 22"/>
        <xdr:cNvSpPr>
          <a:spLocks/>
        </xdr:cNvSpPr>
      </xdr:nvSpPr>
      <xdr:spPr>
        <a:xfrm>
          <a:off x="1857375" y="59912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3552825</xdr:colOff>
      <xdr:row>17</xdr:row>
      <xdr:rowOff>123825</xdr:rowOff>
    </xdr:from>
    <xdr:to>
      <xdr:col>3</xdr:col>
      <xdr:colOff>180975</xdr:colOff>
      <xdr:row>17</xdr:row>
      <xdr:rowOff>123825</xdr:rowOff>
    </xdr:to>
    <xdr:sp>
      <xdr:nvSpPr>
        <xdr:cNvPr id="11" name="Line 23"/>
        <xdr:cNvSpPr>
          <a:spLocks/>
        </xdr:cNvSpPr>
      </xdr:nvSpPr>
      <xdr:spPr>
        <a:xfrm>
          <a:off x="4067175" y="287655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3476625</xdr:colOff>
      <xdr:row>18</xdr:row>
      <xdr:rowOff>123825</xdr:rowOff>
    </xdr:from>
    <xdr:to>
      <xdr:col>3</xdr:col>
      <xdr:colOff>142875</xdr:colOff>
      <xdr:row>18</xdr:row>
      <xdr:rowOff>123825</xdr:rowOff>
    </xdr:to>
    <xdr:sp>
      <xdr:nvSpPr>
        <xdr:cNvPr id="12" name="Line 24"/>
        <xdr:cNvSpPr>
          <a:spLocks/>
        </xdr:cNvSpPr>
      </xdr:nvSpPr>
      <xdr:spPr>
        <a:xfrm>
          <a:off x="3990975" y="30384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3543300</xdr:colOff>
      <xdr:row>19</xdr:row>
      <xdr:rowOff>123825</xdr:rowOff>
    </xdr:from>
    <xdr:to>
      <xdr:col>3</xdr:col>
      <xdr:colOff>142875</xdr:colOff>
      <xdr:row>19</xdr:row>
      <xdr:rowOff>123825</xdr:rowOff>
    </xdr:to>
    <xdr:sp>
      <xdr:nvSpPr>
        <xdr:cNvPr id="13" name="Line 26"/>
        <xdr:cNvSpPr>
          <a:spLocks/>
        </xdr:cNvSpPr>
      </xdr:nvSpPr>
      <xdr:spPr>
        <a:xfrm>
          <a:off x="4057650" y="32004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3305175</xdr:colOff>
      <xdr:row>20</xdr:row>
      <xdr:rowOff>123825</xdr:rowOff>
    </xdr:from>
    <xdr:to>
      <xdr:col>3</xdr:col>
      <xdr:colOff>133350</xdr:colOff>
      <xdr:row>20</xdr:row>
      <xdr:rowOff>123825</xdr:rowOff>
    </xdr:to>
    <xdr:sp>
      <xdr:nvSpPr>
        <xdr:cNvPr id="14" name="Line 27"/>
        <xdr:cNvSpPr>
          <a:spLocks/>
        </xdr:cNvSpPr>
      </xdr:nvSpPr>
      <xdr:spPr>
        <a:xfrm>
          <a:off x="3819525" y="3362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2990850</xdr:colOff>
      <xdr:row>21</xdr:row>
      <xdr:rowOff>123825</xdr:rowOff>
    </xdr:from>
    <xdr:to>
      <xdr:col>3</xdr:col>
      <xdr:colOff>133350</xdr:colOff>
      <xdr:row>21</xdr:row>
      <xdr:rowOff>123825</xdr:rowOff>
    </xdr:to>
    <xdr:sp>
      <xdr:nvSpPr>
        <xdr:cNvPr id="15" name="Line 28"/>
        <xdr:cNvSpPr>
          <a:spLocks/>
        </xdr:cNvSpPr>
      </xdr:nvSpPr>
      <xdr:spPr>
        <a:xfrm>
          <a:off x="3505200" y="35242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3305175</xdr:colOff>
      <xdr:row>22</xdr:row>
      <xdr:rowOff>123825</xdr:rowOff>
    </xdr:from>
    <xdr:to>
      <xdr:col>3</xdr:col>
      <xdr:colOff>123825</xdr:colOff>
      <xdr:row>22</xdr:row>
      <xdr:rowOff>123825</xdr:rowOff>
    </xdr:to>
    <xdr:sp>
      <xdr:nvSpPr>
        <xdr:cNvPr id="16" name="Line 29"/>
        <xdr:cNvSpPr>
          <a:spLocks/>
        </xdr:cNvSpPr>
      </xdr:nvSpPr>
      <xdr:spPr>
        <a:xfrm>
          <a:off x="3819525" y="3686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3228975</xdr:colOff>
      <xdr:row>23</xdr:row>
      <xdr:rowOff>123825</xdr:rowOff>
    </xdr:from>
    <xdr:to>
      <xdr:col>3</xdr:col>
      <xdr:colOff>142875</xdr:colOff>
      <xdr:row>23</xdr:row>
      <xdr:rowOff>123825</xdr:rowOff>
    </xdr:to>
    <xdr:sp>
      <xdr:nvSpPr>
        <xdr:cNvPr id="17" name="Line 30"/>
        <xdr:cNvSpPr>
          <a:spLocks/>
        </xdr:cNvSpPr>
      </xdr:nvSpPr>
      <xdr:spPr>
        <a:xfrm>
          <a:off x="3743325" y="38481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3276600</xdr:colOff>
      <xdr:row>24</xdr:row>
      <xdr:rowOff>123825</xdr:rowOff>
    </xdr:from>
    <xdr:to>
      <xdr:col>3</xdr:col>
      <xdr:colOff>123825</xdr:colOff>
      <xdr:row>24</xdr:row>
      <xdr:rowOff>123825</xdr:rowOff>
    </xdr:to>
    <xdr:sp>
      <xdr:nvSpPr>
        <xdr:cNvPr id="18" name="Line 31"/>
        <xdr:cNvSpPr>
          <a:spLocks/>
        </xdr:cNvSpPr>
      </xdr:nvSpPr>
      <xdr:spPr>
        <a:xfrm>
          <a:off x="3790950" y="4010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25</xdr:row>
      <xdr:rowOff>304800</xdr:rowOff>
    </xdr:from>
    <xdr:to>
      <xdr:col>3</xdr:col>
      <xdr:colOff>133350</xdr:colOff>
      <xdr:row>25</xdr:row>
      <xdr:rowOff>304800</xdr:rowOff>
    </xdr:to>
    <xdr:sp>
      <xdr:nvSpPr>
        <xdr:cNvPr id="19" name="Line 32"/>
        <xdr:cNvSpPr>
          <a:spLocks/>
        </xdr:cNvSpPr>
      </xdr:nvSpPr>
      <xdr:spPr>
        <a:xfrm flipV="1">
          <a:off x="2095500" y="43529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26</xdr:row>
      <xdr:rowOff>295275</xdr:rowOff>
    </xdr:from>
    <xdr:to>
      <xdr:col>3</xdr:col>
      <xdr:colOff>133350</xdr:colOff>
      <xdr:row>26</xdr:row>
      <xdr:rowOff>295275</xdr:rowOff>
    </xdr:to>
    <xdr:sp>
      <xdr:nvSpPr>
        <xdr:cNvPr id="20" name="Line 37"/>
        <xdr:cNvSpPr>
          <a:spLocks/>
        </xdr:cNvSpPr>
      </xdr:nvSpPr>
      <xdr:spPr>
        <a:xfrm>
          <a:off x="1771650" y="4676775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27</xdr:row>
      <xdr:rowOff>295275</xdr:rowOff>
    </xdr:from>
    <xdr:to>
      <xdr:col>3</xdr:col>
      <xdr:colOff>123825</xdr:colOff>
      <xdr:row>27</xdr:row>
      <xdr:rowOff>295275</xdr:rowOff>
    </xdr:to>
    <xdr:sp>
      <xdr:nvSpPr>
        <xdr:cNvPr id="21" name="Line 38"/>
        <xdr:cNvSpPr>
          <a:spLocks/>
        </xdr:cNvSpPr>
      </xdr:nvSpPr>
      <xdr:spPr>
        <a:xfrm>
          <a:off x="2105025" y="501015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1447800</xdr:colOff>
      <xdr:row>28</xdr:row>
      <xdr:rowOff>295275</xdr:rowOff>
    </xdr:from>
    <xdr:to>
      <xdr:col>3</xdr:col>
      <xdr:colOff>133350</xdr:colOff>
      <xdr:row>28</xdr:row>
      <xdr:rowOff>295275</xdr:rowOff>
    </xdr:to>
    <xdr:sp>
      <xdr:nvSpPr>
        <xdr:cNvPr id="22" name="Line 39"/>
        <xdr:cNvSpPr>
          <a:spLocks/>
        </xdr:cNvSpPr>
      </xdr:nvSpPr>
      <xdr:spPr>
        <a:xfrm>
          <a:off x="1962150" y="5343525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29</xdr:row>
      <xdr:rowOff>295275</xdr:rowOff>
    </xdr:from>
    <xdr:to>
      <xdr:col>3</xdr:col>
      <xdr:colOff>123825</xdr:colOff>
      <xdr:row>29</xdr:row>
      <xdr:rowOff>295275</xdr:rowOff>
    </xdr:to>
    <xdr:sp>
      <xdr:nvSpPr>
        <xdr:cNvPr id="23" name="Line 40"/>
        <xdr:cNvSpPr>
          <a:spLocks/>
        </xdr:cNvSpPr>
      </xdr:nvSpPr>
      <xdr:spPr>
        <a:xfrm>
          <a:off x="2009775" y="567690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05\2105Appendix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POST%20PROJECT%20HRA/Project%20Emiss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WINDOWS/TEMP/CALCS_ab2588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150\2150SCH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ssel GLC and Background Calcs"/>
      <sheetName val="Vessel Threshold Evaluation"/>
      <sheetName val="Vessel TAC Modeling Inputs"/>
    </sheetNames>
    <sheetDataSet>
      <sheetData sheetId="0">
        <row r="26">
          <cell r="D26">
            <v>11.64</v>
          </cell>
        </row>
      </sheetData>
      <sheetData sheetId="2">
        <row r="9">
          <cell r="B9">
            <v>11.68921</v>
          </cell>
          <cell r="G9">
            <v>1164</v>
          </cell>
          <cell r="H9">
            <v>58200</v>
          </cell>
        </row>
        <row r="10">
          <cell r="B10">
            <v>1.12075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issions Imported to Access_1"/>
      <sheetName val="Emissions Imported to Access_2"/>
      <sheetName val="Max Hourly_Marsha"/>
      <sheetName val="Speciation"/>
      <sheetName val="Summary"/>
      <sheetName val="Process Rates"/>
      <sheetName val="Tail Gas Vent"/>
      <sheetName val="H_B - Process Data"/>
      <sheetName val="Combustion Source Test Data"/>
      <sheetName val="Flare Flow Data"/>
      <sheetName val="Combustion"/>
      <sheetName val="Coke Drum"/>
      <sheetName val="Fuel Dispensing"/>
      <sheetName val="Maintenance"/>
      <sheetName val="tank VOC summary"/>
      <sheetName val="tanks dbf"/>
      <sheetName val="Fixed Roof Tanks"/>
      <sheetName val="External Floating Roof Tanks"/>
      <sheetName val="Bulk Loading"/>
      <sheetName val="Drains"/>
      <sheetName val="Fugitives"/>
      <sheetName val="Lab Backup Data"/>
      <sheetName val="Lab"/>
      <sheetName val="IC Engines"/>
      <sheetName val="Cooling Tower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24"/>
  <sheetViews>
    <sheetView zoomScale="55" zoomScaleNormal="55" zoomScalePageLayoutView="0" workbookViewId="0" topLeftCell="A1">
      <selection activeCell="D14" sqref="D14"/>
    </sheetView>
  </sheetViews>
  <sheetFormatPr defaultColWidth="9.140625" defaultRowHeight="12.75"/>
  <sheetData>
    <row r="22" spans="1:9" ht="18" thickBot="1">
      <c r="A22" s="246" t="s">
        <v>216</v>
      </c>
      <c r="B22" s="45"/>
      <c r="C22" s="45"/>
      <c r="D22" s="45"/>
      <c r="E22" s="45"/>
      <c r="F22" s="45"/>
      <c r="G22" s="45"/>
      <c r="H22" s="45"/>
      <c r="I22" s="45"/>
    </row>
    <row r="23" ht="15">
      <c r="A23" s="247" t="s">
        <v>217</v>
      </c>
    </row>
    <row r="24" ht="15">
      <c r="A24" s="247" t="s">
        <v>218</v>
      </c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N37"/>
  <sheetViews>
    <sheetView zoomScale="80" zoomScaleNormal="80" zoomScalePageLayoutView="0" workbookViewId="0" topLeftCell="A1">
      <selection activeCell="G41" sqref="G41"/>
    </sheetView>
  </sheetViews>
  <sheetFormatPr defaultColWidth="9.140625" defaultRowHeight="12.75"/>
  <cols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17.8515625" style="0" customWidth="1"/>
  </cols>
  <sheetData>
    <row r="1" spans="2:12" s="16" customFormat="1" ht="13.5" thickBot="1">
      <c r="B1" s="296" t="s">
        <v>170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2:12" ht="30" customHeight="1" thickBot="1">
      <c r="B2" s="128" t="s">
        <v>49</v>
      </c>
      <c r="C2" s="278" t="s">
        <v>96</v>
      </c>
      <c r="D2" s="279"/>
      <c r="E2" s="278" t="s">
        <v>97</v>
      </c>
      <c r="F2" s="283"/>
      <c r="G2" s="278" t="s">
        <v>98</v>
      </c>
      <c r="H2" s="279"/>
      <c r="I2" s="278" t="s">
        <v>99</v>
      </c>
      <c r="J2" s="283"/>
      <c r="K2" s="278" t="s">
        <v>100</v>
      </c>
      <c r="L2" s="279"/>
    </row>
    <row r="3" spans="2:12" ht="26.25">
      <c r="B3" s="224" t="s">
        <v>50</v>
      </c>
      <c r="C3" s="281">
        <v>0.01282</v>
      </c>
      <c r="D3" s="282"/>
      <c r="E3" s="282">
        <v>0.001383</v>
      </c>
      <c r="F3" s="282"/>
      <c r="G3" s="282">
        <v>0.001361</v>
      </c>
      <c r="H3" s="282"/>
      <c r="I3" s="282">
        <v>9E-06</v>
      </c>
      <c r="J3" s="282"/>
      <c r="K3" s="282">
        <v>8E-05</v>
      </c>
      <c r="L3" s="284"/>
    </row>
    <row r="4" spans="2:12" ht="12.75">
      <c r="B4" s="225" t="s">
        <v>156</v>
      </c>
      <c r="C4" s="299">
        <v>0.01282</v>
      </c>
      <c r="D4" s="300"/>
      <c r="E4" s="300">
        <v>0.001383</v>
      </c>
      <c r="F4" s="300"/>
      <c r="G4" s="300">
        <v>0.001361</v>
      </c>
      <c r="H4" s="300"/>
      <c r="I4" s="300">
        <v>9E-06</v>
      </c>
      <c r="J4" s="300"/>
      <c r="K4" s="300">
        <v>8E-05</v>
      </c>
      <c r="L4" s="302"/>
    </row>
    <row r="5" spans="2:12" ht="12.75">
      <c r="B5" s="225" t="s">
        <v>107</v>
      </c>
      <c r="C5" s="269">
        <v>0.017455</v>
      </c>
      <c r="D5" s="268"/>
      <c r="E5" s="268">
        <v>0.002608</v>
      </c>
      <c r="F5" s="268"/>
      <c r="G5" s="268">
        <v>0.024978</v>
      </c>
      <c r="H5" s="268"/>
      <c r="I5" s="268">
        <v>3.3E-05</v>
      </c>
      <c r="J5" s="268"/>
      <c r="K5" s="292">
        <v>0.00043966411925653367</v>
      </c>
      <c r="L5" s="301"/>
    </row>
    <row r="6" spans="2:12" ht="12.75">
      <c r="B6" s="225" t="s">
        <v>95</v>
      </c>
      <c r="C6" s="269">
        <v>0.017455</v>
      </c>
      <c r="D6" s="268"/>
      <c r="E6" s="268">
        <v>0.002608</v>
      </c>
      <c r="F6" s="268"/>
      <c r="G6" s="268">
        <v>0.024978</v>
      </c>
      <c r="H6" s="268"/>
      <c r="I6" s="268">
        <v>3.3E-05</v>
      </c>
      <c r="J6" s="268"/>
      <c r="K6" s="292">
        <v>0.00043966411925653367</v>
      </c>
      <c r="L6" s="301"/>
    </row>
    <row r="7" spans="2:12" ht="12.75">
      <c r="B7" s="225" t="s">
        <v>155</v>
      </c>
      <c r="C7" s="269">
        <v>0.017455</v>
      </c>
      <c r="D7" s="268"/>
      <c r="E7" s="268">
        <v>0.002608</v>
      </c>
      <c r="F7" s="268"/>
      <c r="G7" s="268">
        <v>0.024978</v>
      </c>
      <c r="H7" s="268"/>
      <c r="I7" s="268">
        <v>3.3E-05</v>
      </c>
      <c r="J7" s="268"/>
      <c r="K7" s="292">
        <v>0.00043966411925653367</v>
      </c>
      <c r="L7" s="301"/>
    </row>
    <row r="8" spans="2:12" ht="12.75">
      <c r="B8" s="225" t="s">
        <v>154</v>
      </c>
      <c r="C8" s="269">
        <v>0.017455</v>
      </c>
      <c r="D8" s="268"/>
      <c r="E8" s="268">
        <v>0.002608</v>
      </c>
      <c r="F8" s="268"/>
      <c r="G8" s="268">
        <v>0.024978</v>
      </c>
      <c r="H8" s="268"/>
      <c r="I8" s="268">
        <v>3.3E-05</v>
      </c>
      <c r="J8" s="268"/>
      <c r="K8" s="292">
        <v>0.00043966411925653367</v>
      </c>
      <c r="L8" s="301"/>
    </row>
    <row r="9" spans="2:12" ht="13.5" thickBot="1">
      <c r="B9" s="226" t="s">
        <v>129</v>
      </c>
      <c r="C9" s="272">
        <v>0.017455</v>
      </c>
      <c r="D9" s="273"/>
      <c r="E9" s="273">
        <v>0.002608</v>
      </c>
      <c r="F9" s="273"/>
      <c r="G9" s="273">
        <v>0.024978</v>
      </c>
      <c r="H9" s="273"/>
      <c r="I9" s="273">
        <v>3.3E-05</v>
      </c>
      <c r="J9" s="273"/>
      <c r="K9" s="303">
        <v>0.00043966411925653367</v>
      </c>
      <c r="L9" s="304"/>
    </row>
    <row r="10" ht="13.5" thickBot="1"/>
    <row r="11" spans="2:13" ht="13.5" thickBot="1">
      <c r="B11" s="59"/>
      <c r="C11" s="274" t="s">
        <v>51</v>
      </c>
      <c r="D11" s="275"/>
      <c r="E11" s="275"/>
      <c r="F11" s="276"/>
      <c r="G11" s="274" t="s">
        <v>52</v>
      </c>
      <c r="H11" s="275"/>
      <c r="I11" s="275"/>
      <c r="J11" s="275"/>
      <c r="K11" s="276"/>
      <c r="L11" s="22"/>
      <c r="M11" s="22"/>
    </row>
    <row r="12" spans="2:14" ht="39.75" thickBot="1">
      <c r="B12" s="44" t="s">
        <v>53</v>
      </c>
      <c r="C12" s="118" t="s">
        <v>160</v>
      </c>
      <c r="D12" s="124" t="s">
        <v>159</v>
      </c>
      <c r="E12" s="186" t="s">
        <v>157</v>
      </c>
      <c r="F12" s="117" t="s">
        <v>158</v>
      </c>
      <c r="G12" s="95" t="s">
        <v>101</v>
      </c>
      <c r="H12" s="14" t="s">
        <v>102</v>
      </c>
      <c r="I12" s="95" t="s">
        <v>103</v>
      </c>
      <c r="J12" s="95" t="s">
        <v>104</v>
      </c>
      <c r="K12" s="14" t="s">
        <v>105</v>
      </c>
      <c r="L12" s="42"/>
      <c r="M12" s="119"/>
      <c r="N12" s="119"/>
    </row>
    <row r="13" spans="2:14" ht="26.25">
      <c r="B13" s="179" t="s">
        <v>50</v>
      </c>
      <c r="C13" s="184">
        <v>395</v>
      </c>
      <c r="D13" s="185">
        <v>2</v>
      </c>
      <c r="E13" s="187">
        <v>16.2</v>
      </c>
      <c r="F13" s="202">
        <f aca="true" t="shared" si="0" ref="F13:F19">E13*D13*C13</f>
        <v>12798</v>
      </c>
      <c r="G13" s="156">
        <f aca="true" t="shared" si="1" ref="G13:G19">F13*C3</f>
        <v>164.07036</v>
      </c>
      <c r="H13" s="152">
        <f aca="true" t="shared" si="2" ref="H13:H19">F13*E3</f>
        <v>17.699634</v>
      </c>
      <c r="I13" s="182">
        <f aca="true" t="shared" si="3" ref="I13:I19">F13*G3</f>
        <v>17.418078</v>
      </c>
      <c r="J13" s="182">
        <f aca="true" t="shared" si="4" ref="J13:J19">F13*I3</f>
        <v>0.115182</v>
      </c>
      <c r="K13" s="183">
        <f aca="true" t="shared" si="5" ref="K13:K19">F13*K3</f>
        <v>1.02384</v>
      </c>
      <c r="L13" s="180"/>
      <c r="M13" s="181"/>
      <c r="N13" s="181"/>
    </row>
    <row r="14" spans="2:14" ht="12.75">
      <c r="B14" s="114" t="s">
        <v>156</v>
      </c>
      <c r="C14" s="188">
        <v>27</v>
      </c>
      <c r="D14" s="143">
        <v>1</v>
      </c>
      <c r="E14" s="203">
        <v>10</v>
      </c>
      <c r="F14" s="204">
        <f t="shared" si="0"/>
        <v>270</v>
      </c>
      <c r="G14" s="94">
        <f t="shared" si="1"/>
        <v>3.4614</v>
      </c>
      <c r="H14" s="129">
        <f t="shared" si="2"/>
        <v>0.37340999999999996</v>
      </c>
      <c r="I14" s="18">
        <f t="shared" si="3"/>
        <v>0.36747</v>
      </c>
      <c r="J14" s="18">
        <f t="shared" si="4"/>
        <v>0.00243</v>
      </c>
      <c r="K14" s="96">
        <f t="shared" si="5"/>
        <v>0.0216</v>
      </c>
      <c r="L14" s="180"/>
      <c r="M14" s="181"/>
      <c r="N14" s="181"/>
    </row>
    <row r="15" spans="1:14" ht="12.75">
      <c r="A15" s="297" t="s">
        <v>197</v>
      </c>
      <c r="B15" s="114" t="s">
        <v>107</v>
      </c>
      <c r="C15" s="188">
        <v>9</v>
      </c>
      <c r="D15" s="143">
        <v>1</v>
      </c>
      <c r="E15" s="203">
        <v>4</v>
      </c>
      <c r="F15" s="204">
        <f t="shared" si="0"/>
        <v>36</v>
      </c>
      <c r="G15" s="94">
        <f t="shared" si="1"/>
        <v>0.6283799999999999</v>
      </c>
      <c r="H15" s="129">
        <f t="shared" si="2"/>
        <v>0.093888</v>
      </c>
      <c r="I15" s="18">
        <f t="shared" si="3"/>
        <v>0.899208</v>
      </c>
      <c r="J15" s="18">
        <f t="shared" si="4"/>
        <v>0.001188</v>
      </c>
      <c r="K15" s="96">
        <f t="shared" si="5"/>
        <v>0.015827908293235212</v>
      </c>
      <c r="L15" s="180"/>
      <c r="M15" s="181"/>
      <c r="N15" s="181"/>
    </row>
    <row r="16" spans="1:14" s="91" customFormat="1" ht="12.75">
      <c r="A16" s="297"/>
      <c r="B16" s="114" t="s">
        <v>95</v>
      </c>
      <c r="C16" s="188">
        <v>5</v>
      </c>
      <c r="D16" s="143">
        <v>1</v>
      </c>
      <c r="E16" s="203">
        <v>10</v>
      </c>
      <c r="F16" s="204">
        <f t="shared" si="0"/>
        <v>50</v>
      </c>
      <c r="G16" s="94">
        <f t="shared" si="1"/>
        <v>0.8727499999999999</v>
      </c>
      <c r="H16" s="129">
        <f t="shared" si="2"/>
        <v>0.13040000000000002</v>
      </c>
      <c r="I16" s="18">
        <f t="shared" si="3"/>
        <v>1.2489</v>
      </c>
      <c r="J16" s="18">
        <f t="shared" si="4"/>
        <v>0.0016500000000000002</v>
      </c>
      <c r="K16" s="96">
        <f t="shared" si="5"/>
        <v>0.021983205962826685</v>
      </c>
      <c r="L16" s="115"/>
      <c r="M16" s="125"/>
      <c r="N16" s="125"/>
    </row>
    <row r="17" spans="2:14" s="91" customFormat="1" ht="12.75">
      <c r="B17" s="114" t="s">
        <v>155</v>
      </c>
      <c r="C17" s="188">
        <v>5</v>
      </c>
      <c r="D17" s="143">
        <v>1</v>
      </c>
      <c r="E17" s="203">
        <v>10</v>
      </c>
      <c r="F17" s="204">
        <f t="shared" si="0"/>
        <v>50</v>
      </c>
      <c r="G17" s="94">
        <f t="shared" si="1"/>
        <v>0.8727499999999999</v>
      </c>
      <c r="H17" s="129">
        <f t="shared" si="2"/>
        <v>0.13040000000000002</v>
      </c>
      <c r="I17" s="18">
        <f t="shared" si="3"/>
        <v>1.2489</v>
      </c>
      <c r="J17" s="18">
        <f t="shared" si="4"/>
        <v>0.0016500000000000002</v>
      </c>
      <c r="K17" s="96">
        <f t="shared" si="5"/>
        <v>0.021983205962826685</v>
      </c>
      <c r="L17" s="115"/>
      <c r="M17" s="125"/>
      <c r="N17" s="125"/>
    </row>
    <row r="18" spans="2:14" s="91" customFormat="1" ht="12.75">
      <c r="B18" s="114" t="s">
        <v>154</v>
      </c>
      <c r="C18" s="188">
        <v>8</v>
      </c>
      <c r="D18" s="143">
        <v>1</v>
      </c>
      <c r="E18" s="203">
        <v>10</v>
      </c>
      <c r="F18" s="204">
        <f t="shared" si="0"/>
        <v>80</v>
      </c>
      <c r="G18" s="94">
        <f t="shared" si="1"/>
        <v>1.3963999999999999</v>
      </c>
      <c r="H18" s="129">
        <f t="shared" si="2"/>
        <v>0.20864</v>
      </c>
      <c r="I18" s="18">
        <f t="shared" si="3"/>
        <v>1.99824</v>
      </c>
      <c r="J18" s="18">
        <f t="shared" si="4"/>
        <v>0.00264</v>
      </c>
      <c r="K18" s="92">
        <f t="shared" si="5"/>
        <v>0.035173129540522693</v>
      </c>
      <c r="L18" s="115"/>
      <c r="M18" s="125"/>
      <c r="N18" s="125"/>
    </row>
    <row r="19" spans="2:14" ht="13.5" thickBot="1">
      <c r="B19" s="193" t="s">
        <v>129</v>
      </c>
      <c r="C19" s="194">
        <v>73</v>
      </c>
      <c r="D19" s="195">
        <v>1</v>
      </c>
      <c r="E19" s="196">
        <v>30</v>
      </c>
      <c r="F19" s="197">
        <f t="shared" si="0"/>
        <v>2190</v>
      </c>
      <c r="G19" s="198">
        <f t="shared" si="1"/>
        <v>38.22645</v>
      </c>
      <c r="H19" s="199">
        <f t="shared" si="2"/>
        <v>5.71152</v>
      </c>
      <c r="I19" s="200">
        <f t="shared" si="3"/>
        <v>54.70182</v>
      </c>
      <c r="J19" s="200">
        <f t="shared" si="4"/>
        <v>0.07227</v>
      </c>
      <c r="K19" s="201">
        <f t="shared" si="5"/>
        <v>0.9628644211718087</v>
      </c>
      <c r="L19" s="115"/>
      <c r="M19" s="125"/>
      <c r="N19" s="125"/>
    </row>
    <row r="20" spans="2:14" ht="14.25" thickBot="1" thickTop="1">
      <c r="B20" s="189" t="s">
        <v>128</v>
      </c>
      <c r="C20" s="190"/>
      <c r="D20" s="190"/>
      <c r="E20" s="190"/>
      <c r="F20" s="190"/>
      <c r="G20" s="191">
        <f>SUM(G13:G19)</f>
        <v>209.52848999999998</v>
      </c>
      <c r="H20" s="191">
        <f>SUM(H13:H19)</f>
        <v>24.347892</v>
      </c>
      <c r="I20" s="191">
        <f>SUM(I13:I19)</f>
        <v>77.882616</v>
      </c>
      <c r="J20" s="191">
        <f>SUM(J13:J19)</f>
        <v>0.19701000000000002</v>
      </c>
      <c r="K20" s="192">
        <f>SUM(K13:K19)</f>
        <v>2.10327187093122</v>
      </c>
      <c r="L20" s="125"/>
      <c r="M20" s="125"/>
      <c r="N20" s="125"/>
    </row>
    <row r="21" spans="2:13" ht="13.5" customHeight="1" hidden="1" thickBot="1">
      <c r="B21" s="45"/>
      <c r="C21" s="71"/>
      <c r="D21" s="71"/>
      <c r="E21" s="71"/>
      <c r="F21" s="116"/>
      <c r="G21" s="116"/>
      <c r="H21" s="116"/>
      <c r="I21" s="116"/>
      <c r="J21" s="116"/>
      <c r="K21" s="116"/>
      <c r="L21" s="116"/>
      <c r="M21" s="116"/>
    </row>
    <row r="22" spans="2:13" ht="13.5" customHeight="1" hidden="1" thickBot="1">
      <c r="B22" s="39" t="s">
        <v>53</v>
      </c>
      <c r="C22" s="271" t="s">
        <v>51</v>
      </c>
      <c r="D22" s="271"/>
      <c r="E22" s="270" t="s">
        <v>0</v>
      </c>
      <c r="F22" s="271"/>
      <c r="G22" s="270" t="s">
        <v>1</v>
      </c>
      <c r="H22" s="271"/>
      <c r="I22" s="270" t="s">
        <v>2</v>
      </c>
      <c r="J22" s="270"/>
      <c r="K22" s="270" t="s">
        <v>6</v>
      </c>
      <c r="L22" s="270"/>
      <c r="M22" s="60" t="s">
        <v>3</v>
      </c>
    </row>
    <row r="23" spans="2:13" ht="41.25" customHeight="1" hidden="1">
      <c r="B23" s="57" t="s">
        <v>106</v>
      </c>
      <c r="C23" s="178">
        <f>C13+C16</f>
        <v>400</v>
      </c>
      <c r="D23" s="155">
        <f>D13+D16</f>
        <v>3</v>
      </c>
      <c r="E23" s="298">
        <f>G13+G16</f>
        <v>164.94311</v>
      </c>
      <c r="F23" s="267"/>
      <c r="G23" s="266">
        <f>H13+H16</f>
        <v>17.830034</v>
      </c>
      <c r="H23" s="267"/>
      <c r="I23" s="266">
        <f>I13+I16</f>
        <v>18.666978</v>
      </c>
      <c r="J23" s="267"/>
      <c r="K23" s="266">
        <f>J13+J16</f>
        <v>0.116832</v>
      </c>
      <c r="L23" s="267"/>
      <c r="M23" s="183">
        <f>K13+K16</f>
        <v>1.0458232059628267</v>
      </c>
    </row>
    <row r="24" spans="2:13" ht="24.75" customHeight="1" hidden="1">
      <c r="B24" s="114"/>
      <c r="C24" s="90"/>
      <c r="D24" s="127"/>
      <c r="E24" s="262"/>
      <c r="F24" s="263"/>
      <c r="G24" s="264"/>
      <c r="H24" s="263"/>
      <c r="I24" s="264"/>
      <c r="J24" s="263"/>
      <c r="K24" s="264"/>
      <c r="L24" s="265"/>
      <c r="M24" s="96"/>
    </row>
    <row r="25" spans="2:13" ht="24.75" customHeight="1" hidden="1">
      <c r="B25" s="114"/>
      <c r="C25" s="90"/>
      <c r="D25" s="127"/>
      <c r="E25" s="262"/>
      <c r="F25" s="263"/>
      <c r="G25" s="264"/>
      <c r="H25" s="263"/>
      <c r="I25" s="264"/>
      <c r="J25" s="263"/>
      <c r="K25" s="264"/>
      <c r="L25" s="265"/>
      <c r="M25" s="96"/>
    </row>
    <row r="26" spans="2:13" ht="24.75" customHeight="1" hidden="1">
      <c r="B26" s="114"/>
      <c r="C26" s="90"/>
      <c r="D26" s="127"/>
      <c r="E26" s="262"/>
      <c r="F26" s="263"/>
      <c r="G26" s="264"/>
      <c r="H26" s="263"/>
      <c r="I26" s="264"/>
      <c r="J26" s="263"/>
      <c r="K26" s="264"/>
      <c r="L26" s="265"/>
      <c r="M26" s="96"/>
    </row>
    <row r="27" spans="2:13" ht="24.75" customHeight="1" hidden="1">
      <c r="B27" s="114"/>
      <c r="C27" s="90"/>
      <c r="D27" s="127"/>
      <c r="E27" s="262"/>
      <c r="F27" s="263"/>
      <c r="G27" s="264"/>
      <c r="H27" s="263"/>
      <c r="I27" s="264"/>
      <c r="J27" s="263"/>
      <c r="K27" s="264"/>
      <c r="L27" s="265"/>
      <c r="M27" s="96"/>
    </row>
    <row r="28" spans="2:13" ht="24.75" customHeight="1" hidden="1">
      <c r="B28" s="114"/>
      <c r="C28" s="90"/>
      <c r="D28" s="127"/>
      <c r="E28" s="262"/>
      <c r="F28" s="263"/>
      <c r="G28" s="264"/>
      <c r="H28" s="263"/>
      <c r="I28" s="264"/>
      <c r="J28" s="263"/>
      <c r="K28" s="264"/>
      <c r="L28" s="265"/>
      <c r="M28" s="96"/>
    </row>
    <row r="29" spans="2:13" ht="24.75" customHeight="1" hidden="1">
      <c r="B29" s="114" t="s">
        <v>109</v>
      </c>
      <c r="C29" s="90">
        <f>C18</f>
        <v>8</v>
      </c>
      <c r="D29" s="127">
        <f>D18</f>
        <v>1</v>
      </c>
      <c r="E29" s="262">
        <f>G18</f>
        <v>1.3963999999999999</v>
      </c>
      <c r="F29" s="263"/>
      <c r="G29" s="264">
        <f>H18</f>
        <v>0.20864</v>
      </c>
      <c r="H29" s="263"/>
      <c r="I29" s="264">
        <f>I18</f>
        <v>1.99824</v>
      </c>
      <c r="J29" s="263"/>
      <c r="K29" s="264">
        <f>J18</f>
        <v>0.00264</v>
      </c>
      <c r="L29" s="265"/>
      <c r="M29" s="96">
        <f>K18</f>
        <v>0.035173129540522693</v>
      </c>
    </row>
    <row r="30" spans="2:13" ht="12.75" customHeight="1" hidden="1">
      <c r="B30" s="294" t="s">
        <v>54</v>
      </c>
      <c r="C30" s="269">
        <f>C17</f>
        <v>5</v>
      </c>
      <c r="D30" s="292">
        <f>D17</f>
        <v>1</v>
      </c>
      <c r="E30" s="289">
        <f>G17</f>
        <v>0.8727499999999999</v>
      </c>
      <c r="F30" s="290"/>
      <c r="G30" s="291">
        <f>H17</f>
        <v>0.13040000000000002</v>
      </c>
      <c r="H30" s="268"/>
      <c r="I30" s="291">
        <f>+I17</f>
        <v>1.2489</v>
      </c>
      <c r="J30" s="268"/>
      <c r="K30" s="291">
        <f>J17</f>
        <v>0.0016500000000000002</v>
      </c>
      <c r="L30" s="291"/>
      <c r="M30" s="288">
        <f>K17</f>
        <v>0.021983205962826685</v>
      </c>
    </row>
    <row r="31" spans="2:13" ht="15.75" customHeight="1" hidden="1">
      <c r="B31" s="295"/>
      <c r="C31" s="287"/>
      <c r="D31" s="293"/>
      <c r="E31" s="287"/>
      <c r="F31" s="290"/>
      <c r="G31" s="268"/>
      <c r="H31" s="268"/>
      <c r="I31" s="268"/>
      <c r="J31" s="268"/>
      <c r="K31" s="291"/>
      <c r="L31" s="291"/>
      <c r="M31" s="288"/>
    </row>
    <row r="32" spans="2:13" ht="27.75" customHeight="1" hidden="1" thickBot="1">
      <c r="B32" s="139" t="s">
        <v>55</v>
      </c>
      <c r="C32" s="93" t="e">
        <f>C19+#REF!</f>
        <v>#REF!</v>
      </c>
      <c r="D32" s="123" t="e">
        <f>+#REF!+D19</f>
        <v>#REF!</v>
      </c>
      <c r="E32" s="286" t="e">
        <f>+#REF!+G19</f>
        <v>#REF!</v>
      </c>
      <c r="F32" s="273"/>
      <c r="G32" s="285" t="e">
        <f>#REF!+#REF!</f>
        <v>#REF!</v>
      </c>
      <c r="H32" s="273"/>
      <c r="I32" s="285" t="e">
        <f>#REF!+I19</f>
        <v>#REF!</v>
      </c>
      <c r="J32" s="273"/>
      <c r="K32" s="285" t="e">
        <f>#REF!+J19</f>
        <v>#REF!</v>
      </c>
      <c r="L32" s="285"/>
      <c r="M32" s="86" t="e">
        <f>#REF!+K19</f>
        <v>#REF!</v>
      </c>
    </row>
    <row r="33" spans="2:13" ht="14.25" customHeight="1" hidden="1" thickBot="1">
      <c r="B33" s="1" t="s">
        <v>124</v>
      </c>
      <c r="C33" s="1"/>
      <c r="D33" s="2"/>
      <c r="E33" s="270" t="e">
        <f>SUM(E23:F32)</f>
        <v>#REF!</v>
      </c>
      <c r="F33" s="271"/>
      <c r="G33" s="270" t="e">
        <f>SUM(G23:H32)</f>
        <v>#REF!</v>
      </c>
      <c r="H33" s="271"/>
      <c r="I33" s="270" t="e">
        <f>SUM(I23:J32)</f>
        <v>#REF!</v>
      </c>
      <c r="J33" s="271"/>
      <c r="K33" s="270" t="e">
        <f>SUM(K23:L32)</f>
        <v>#REF!</v>
      </c>
      <c r="L33" s="271"/>
      <c r="M33" s="60" t="e">
        <f>SUM(M23:M32)</f>
        <v>#REF!</v>
      </c>
    </row>
    <row r="35" ht="12.75">
      <c r="B35" s="141" t="s">
        <v>215</v>
      </c>
    </row>
    <row r="36" ht="12.75">
      <c r="B36" s="10"/>
    </row>
    <row r="37" spans="2:13" ht="12.75">
      <c r="B37" t="s">
        <v>161</v>
      </c>
      <c r="M37" s="53"/>
    </row>
  </sheetData>
  <sheetProtection/>
  <mergeCells count="93">
    <mergeCell ref="E27:F27"/>
    <mergeCell ref="G27:H27"/>
    <mergeCell ref="I27:J27"/>
    <mergeCell ref="K27:L27"/>
    <mergeCell ref="E28:F28"/>
    <mergeCell ref="G28:H28"/>
    <mergeCell ref="I28:J28"/>
    <mergeCell ref="K28:L28"/>
    <mergeCell ref="E26:F26"/>
    <mergeCell ref="G26:H26"/>
    <mergeCell ref="I26:J26"/>
    <mergeCell ref="K26:L26"/>
    <mergeCell ref="E25:F25"/>
    <mergeCell ref="G25:H25"/>
    <mergeCell ref="I25:J25"/>
    <mergeCell ref="K25:L25"/>
    <mergeCell ref="G23:H23"/>
    <mergeCell ref="I23:J23"/>
    <mergeCell ref="K23:L23"/>
    <mergeCell ref="E24:F24"/>
    <mergeCell ref="G24:H24"/>
    <mergeCell ref="I24:J24"/>
    <mergeCell ref="K24:L24"/>
    <mergeCell ref="E8:F8"/>
    <mergeCell ref="G8:H8"/>
    <mergeCell ref="I8:J8"/>
    <mergeCell ref="C6:D6"/>
    <mergeCell ref="E6:F6"/>
    <mergeCell ref="G6:H6"/>
    <mergeCell ref="I6:J6"/>
    <mergeCell ref="C7:D7"/>
    <mergeCell ref="E7:F7"/>
    <mergeCell ref="G22:H22"/>
    <mergeCell ref="I22:J22"/>
    <mergeCell ref="C9:D9"/>
    <mergeCell ref="E9:F9"/>
    <mergeCell ref="G9:H9"/>
    <mergeCell ref="I9:J9"/>
    <mergeCell ref="C11:F11"/>
    <mergeCell ref="G11:K11"/>
    <mergeCell ref="K9:L9"/>
    <mergeCell ref="K22:L22"/>
    <mergeCell ref="E2:F2"/>
    <mergeCell ref="E3:F3"/>
    <mergeCell ref="C2:D2"/>
    <mergeCell ref="E4:F4"/>
    <mergeCell ref="G3:H3"/>
    <mergeCell ref="G4:H4"/>
    <mergeCell ref="K5:L5"/>
    <mergeCell ref="K6:L6"/>
    <mergeCell ref="K7:L7"/>
    <mergeCell ref="K8:L8"/>
    <mergeCell ref="C3:D3"/>
    <mergeCell ref="I4:J4"/>
    <mergeCell ref="I3:J3"/>
    <mergeCell ref="K3:L3"/>
    <mergeCell ref="K4:L4"/>
    <mergeCell ref="G7:H7"/>
    <mergeCell ref="I7:J7"/>
    <mergeCell ref="C5:D5"/>
    <mergeCell ref="E5:F5"/>
    <mergeCell ref="G5:H5"/>
    <mergeCell ref="I5:J5"/>
    <mergeCell ref="C8:D8"/>
    <mergeCell ref="K33:L33"/>
    <mergeCell ref="K32:L32"/>
    <mergeCell ref="E32:F32"/>
    <mergeCell ref="G32:H32"/>
    <mergeCell ref="I32:J32"/>
    <mergeCell ref="E33:F33"/>
    <mergeCell ref="G33:H33"/>
    <mergeCell ref="I33:J33"/>
    <mergeCell ref="M30:M31"/>
    <mergeCell ref="E30:F31"/>
    <mergeCell ref="G30:H31"/>
    <mergeCell ref="I30:J31"/>
    <mergeCell ref="K30:L31"/>
    <mergeCell ref="C4:D4"/>
    <mergeCell ref="K29:L29"/>
    <mergeCell ref="B30:B31"/>
    <mergeCell ref="B1:L1"/>
    <mergeCell ref="A15:A16"/>
    <mergeCell ref="E29:F29"/>
    <mergeCell ref="G29:H29"/>
    <mergeCell ref="I29:J29"/>
    <mergeCell ref="C22:D22"/>
    <mergeCell ref="E22:F22"/>
    <mergeCell ref="E23:F23"/>
    <mergeCell ref="C30:C31"/>
    <mergeCell ref="D30:D31"/>
    <mergeCell ref="G2:H2"/>
    <mergeCell ref="I2:J2"/>
    <mergeCell ref="K2:L2"/>
  </mergeCells>
  <printOptions horizontalCentered="1"/>
  <pageMargins left="0.75" right="0.75" top="1.3" bottom="0.5" header="0.75" footer="0.5"/>
  <pageSetup firstPageNumber="3" useFirstPageNumber="1" fitToHeight="1" fitToWidth="1" horizontalDpi="600" verticalDpi="600" orientation="landscape" scale="86" r:id="rId1"/>
  <headerFooter alignWithMargins="0">
    <oddHeader>&amp;C&amp;"Arial,Bold"&amp;14Table C-8
On-site/Off-site Construction Vehicle Emissions - June 2007&amp;12
</oddHeader>
    <oddFooter>&amp;L&amp;8M:\MC\2393 BP\EIR\&amp;F:&amp;A&amp;R&amp;8&amp;D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N37"/>
  <sheetViews>
    <sheetView zoomScale="80" zoomScaleNormal="80" zoomScalePageLayoutView="0" workbookViewId="0" topLeftCell="A4">
      <selection activeCell="B35" sqref="B35"/>
    </sheetView>
  </sheetViews>
  <sheetFormatPr defaultColWidth="9.140625" defaultRowHeight="12.75"/>
  <cols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17.8515625" style="0" customWidth="1"/>
  </cols>
  <sheetData>
    <row r="1" spans="2:12" s="16" customFormat="1" ht="13.5" thickBot="1">
      <c r="B1" s="296" t="s">
        <v>170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2:12" ht="30" customHeight="1" thickBot="1">
      <c r="B2" s="128" t="s">
        <v>49</v>
      </c>
      <c r="C2" s="278" t="s">
        <v>96</v>
      </c>
      <c r="D2" s="279"/>
      <c r="E2" s="278" t="s">
        <v>97</v>
      </c>
      <c r="F2" s="283"/>
      <c r="G2" s="278" t="s">
        <v>98</v>
      </c>
      <c r="H2" s="279"/>
      <c r="I2" s="278" t="s">
        <v>99</v>
      </c>
      <c r="J2" s="283"/>
      <c r="K2" s="278" t="s">
        <v>100</v>
      </c>
      <c r="L2" s="279"/>
    </row>
    <row r="3" spans="2:12" ht="26.25">
      <c r="B3" s="224" t="s">
        <v>50</v>
      </c>
      <c r="C3" s="281">
        <v>0.01282</v>
      </c>
      <c r="D3" s="282"/>
      <c r="E3" s="282">
        <v>0.001383</v>
      </c>
      <c r="F3" s="282"/>
      <c r="G3" s="282">
        <v>0.001361</v>
      </c>
      <c r="H3" s="282"/>
      <c r="I3" s="282">
        <v>9E-06</v>
      </c>
      <c r="J3" s="282"/>
      <c r="K3" s="282">
        <v>8E-05</v>
      </c>
      <c r="L3" s="284"/>
    </row>
    <row r="4" spans="2:12" ht="12.75">
      <c r="B4" s="225" t="s">
        <v>156</v>
      </c>
      <c r="C4" s="299">
        <v>0.01282</v>
      </c>
      <c r="D4" s="300"/>
      <c r="E4" s="300">
        <v>0.001383</v>
      </c>
      <c r="F4" s="300"/>
      <c r="G4" s="300">
        <v>0.001361</v>
      </c>
      <c r="H4" s="300"/>
      <c r="I4" s="300">
        <v>9E-06</v>
      </c>
      <c r="J4" s="300"/>
      <c r="K4" s="300">
        <v>8E-05</v>
      </c>
      <c r="L4" s="302"/>
    </row>
    <row r="5" spans="2:12" ht="12.75">
      <c r="B5" s="225" t="s">
        <v>107</v>
      </c>
      <c r="C5" s="269">
        <v>0.017455</v>
      </c>
      <c r="D5" s="268"/>
      <c r="E5" s="268">
        <v>0.002608</v>
      </c>
      <c r="F5" s="268"/>
      <c r="G5" s="268">
        <v>0.024978</v>
      </c>
      <c r="H5" s="268"/>
      <c r="I5" s="268">
        <v>3.3E-05</v>
      </c>
      <c r="J5" s="268"/>
      <c r="K5" s="292">
        <v>0.00043966411925653367</v>
      </c>
      <c r="L5" s="301"/>
    </row>
    <row r="6" spans="2:12" ht="12.75">
      <c r="B6" s="225" t="s">
        <v>95</v>
      </c>
      <c r="C6" s="269">
        <v>0.017455</v>
      </c>
      <c r="D6" s="268"/>
      <c r="E6" s="268">
        <v>0.002608</v>
      </c>
      <c r="F6" s="268"/>
      <c r="G6" s="268">
        <v>0.024978</v>
      </c>
      <c r="H6" s="268"/>
      <c r="I6" s="268">
        <v>3.3E-05</v>
      </c>
      <c r="J6" s="268"/>
      <c r="K6" s="292">
        <v>0.00043966411925653367</v>
      </c>
      <c r="L6" s="301"/>
    </row>
    <row r="7" spans="2:12" ht="12.75">
      <c r="B7" s="225" t="s">
        <v>155</v>
      </c>
      <c r="C7" s="269">
        <v>0.017455</v>
      </c>
      <c r="D7" s="268"/>
      <c r="E7" s="268">
        <v>0.002608</v>
      </c>
      <c r="F7" s="268"/>
      <c r="G7" s="268">
        <v>0.024978</v>
      </c>
      <c r="H7" s="268"/>
      <c r="I7" s="268">
        <v>3.3E-05</v>
      </c>
      <c r="J7" s="268"/>
      <c r="K7" s="292">
        <v>0.00043966411925653367</v>
      </c>
      <c r="L7" s="301"/>
    </row>
    <row r="8" spans="2:12" ht="12.75">
      <c r="B8" s="225" t="s">
        <v>154</v>
      </c>
      <c r="C8" s="269">
        <v>0.017455</v>
      </c>
      <c r="D8" s="268"/>
      <c r="E8" s="268">
        <v>0.002608</v>
      </c>
      <c r="F8" s="268"/>
      <c r="G8" s="268">
        <v>0.024978</v>
      </c>
      <c r="H8" s="268"/>
      <c r="I8" s="268">
        <v>3.3E-05</v>
      </c>
      <c r="J8" s="268"/>
      <c r="K8" s="292">
        <v>0.00043966411925653367</v>
      </c>
      <c r="L8" s="301"/>
    </row>
    <row r="9" spans="2:12" ht="13.5" thickBot="1">
      <c r="B9" s="226" t="s">
        <v>129</v>
      </c>
      <c r="C9" s="272">
        <v>0.017455</v>
      </c>
      <c r="D9" s="273"/>
      <c r="E9" s="273">
        <v>0.002608</v>
      </c>
      <c r="F9" s="273"/>
      <c r="G9" s="273">
        <v>0.024978</v>
      </c>
      <c r="H9" s="273"/>
      <c r="I9" s="273">
        <v>3.3E-05</v>
      </c>
      <c r="J9" s="273"/>
      <c r="K9" s="303">
        <v>0.00043966411925653367</v>
      </c>
      <c r="L9" s="304"/>
    </row>
    <row r="10" ht="13.5" thickBot="1"/>
    <row r="11" spans="2:13" ht="13.5" thickBot="1">
      <c r="B11" s="59"/>
      <c r="C11" s="274" t="s">
        <v>51</v>
      </c>
      <c r="D11" s="275"/>
      <c r="E11" s="275"/>
      <c r="F11" s="276"/>
      <c r="G11" s="274" t="s">
        <v>52</v>
      </c>
      <c r="H11" s="275"/>
      <c r="I11" s="275"/>
      <c r="J11" s="275"/>
      <c r="K11" s="276"/>
      <c r="L11" s="22"/>
      <c r="M11" s="22"/>
    </row>
    <row r="12" spans="2:14" ht="39.75" thickBot="1">
      <c r="B12" s="44" t="s">
        <v>53</v>
      </c>
      <c r="C12" s="118" t="s">
        <v>160</v>
      </c>
      <c r="D12" s="124" t="s">
        <v>159</v>
      </c>
      <c r="E12" s="186" t="s">
        <v>157</v>
      </c>
      <c r="F12" s="117" t="s">
        <v>158</v>
      </c>
      <c r="G12" s="95" t="s">
        <v>101</v>
      </c>
      <c r="H12" s="14" t="s">
        <v>102</v>
      </c>
      <c r="I12" s="95" t="s">
        <v>103</v>
      </c>
      <c r="J12" s="95" t="s">
        <v>104</v>
      </c>
      <c r="K12" s="14" t="s">
        <v>105</v>
      </c>
      <c r="L12" s="42"/>
      <c r="M12" s="119"/>
      <c r="N12" s="119"/>
    </row>
    <row r="13" spans="2:14" ht="26.25">
      <c r="B13" s="179" t="s">
        <v>50</v>
      </c>
      <c r="C13" s="184">
        <v>625</v>
      </c>
      <c r="D13" s="185">
        <v>2</v>
      </c>
      <c r="E13" s="187">
        <v>16.2</v>
      </c>
      <c r="F13" s="202">
        <f aca="true" t="shared" si="0" ref="F13:F19">E13*D13*C13</f>
        <v>20250</v>
      </c>
      <c r="G13" s="156">
        <f aca="true" t="shared" si="1" ref="G13:G19">F13*C3</f>
        <v>259.605</v>
      </c>
      <c r="H13" s="152">
        <f aca="true" t="shared" si="2" ref="H13:H19">F13*E3</f>
        <v>28.00575</v>
      </c>
      <c r="I13" s="182">
        <f aca="true" t="shared" si="3" ref="I13:I19">F13*G3</f>
        <v>27.56025</v>
      </c>
      <c r="J13" s="182">
        <f aca="true" t="shared" si="4" ref="J13:J19">F13*I3</f>
        <v>0.18225</v>
      </c>
      <c r="K13" s="183">
        <f aca="true" t="shared" si="5" ref="K13:K19">F13*K3</f>
        <v>1.62</v>
      </c>
      <c r="L13" s="180"/>
      <c r="M13" s="181"/>
      <c r="N13" s="181"/>
    </row>
    <row r="14" spans="2:14" ht="12.75">
      <c r="B14" s="114" t="s">
        <v>156</v>
      </c>
      <c r="C14" s="188">
        <v>35</v>
      </c>
      <c r="D14" s="143">
        <v>1</v>
      </c>
      <c r="E14" s="203">
        <v>10</v>
      </c>
      <c r="F14" s="204">
        <f t="shared" si="0"/>
        <v>350</v>
      </c>
      <c r="G14" s="94">
        <f t="shared" si="1"/>
        <v>4.487</v>
      </c>
      <c r="H14" s="129">
        <f t="shared" si="2"/>
        <v>0.48405</v>
      </c>
      <c r="I14" s="18">
        <f t="shared" si="3"/>
        <v>0.47635</v>
      </c>
      <c r="J14" s="18">
        <f t="shared" si="4"/>
        <v>0.00315</v>
      </c>
      <c r="K14" s="96">
        <f t="shared" si="5"/>
        <v>0.028</v>
      </c>
      <c r="L14" s="180"/>
      <c r="M14" s="181"/>
      <c r="N14" s="181"/>
    </row>
    <row r="15" spans="1:14" ht="12.75">
      <c r="A15" s="297" t="s">
        <v>198</v>
      </c>
      <c r="B15" s="114" t="s">
        <v>107</v>
      </c>
      <c r="C15" s="188">
        <v>10</v>
      </c>
      <c r="D15" s="143">
        <v>1</v>
      </c>
      <c r="E15" s="203">
        <v>4</v>
      </c>
      <c r="F15" s="204">
        <f t="shared" si="0"/>
        <v>40</v>
      </c>
      <c r="G15" s="94">
        <f t="shared" si="1"/>
        <v>0.6981999999999999</v>
      </c>
      <c r="H15" s="129">
        <f t="shared" si="2"/>
        <v>0.10432</v>
      </c>
      <c r="I15" s="18">
        <f t="shared" si="3"/>
        <v>0.99912</v>
      </c>
      <c r="J15" s="18">
        <f t="shared" si="4"/>
        <v>0.00132</v>
      </c>
      <c r="K15" s="96">
        <f t="shared" si="5"/>
        <v>0.017586564770261347</v>
      </c>
      <c r="L15" s="180"/>
      <c r="M15" s="181"/>
      <c r="N15" s="181"/>
    </row>
    <row r="16" spans="1:14" s="91" customFormat="1" ht="12.75">
      <c r="A16" s="297"/>
      <c r="B16" s="114" t="s">
        <v>95</v>
      </c>
      <c r="C16" s="188">
        <v>6</v>
      </c>
      <c r="D16" s="143">
        <v>1</v>
      </c>
      <c r="E16" s="203">
        <v>10</v>
      </c>
      <c r="F16" s="204">
        <f t="shared" si="0"/>
        <v>60</v>
      </c>
      <c r="G16" s="94">
        <f t="shared" si="1"/>
        <v>1.0473</v>
      </c>
      <c r="H16" s="129">
        <f t="shared" si="2"/>
        <v>0.15648</v>
      </c>
      <c r="I16" s="18">
        <f t="shared" si="3"/>
        <v>1.49868</v>
      </c>
      <c r="J16" s="18">
        <f t="shared" si="4"/>
        <v>0.00198</v>
      </c>
      <c r="K16" s="96">
        <f t="shared" si="5"/>
        <v>0.02637984715539202</v>
      </c>
      <c r="L16" s="115"/>
      <c r="M16" s="125"/>
      <c r="N16" s="125"/>
    </row>
    <row r="17" spans="2:14" s="91" customFormat="1" ht="12.75">
      <c r="B17" s="114" t="s">
        <v>155</v>
      </c>
      <c r="C17" s="188">
        <v>8</v>
      </c>
      <c r="D17" s="143">
        <v>1</v>
      </c>
      <c r="E17" s="203">
        <v>10</v>
      </c>
      <c r="F17" s="204">
        <f t="shared" si="0"/>
        <v>80</v>
      </c>
      <c r="G17" s="94">
        <f t="shared" si="1"/>
        <v>1.3963999999999999</v>
      </c>
      <c r="H17" s="129">
        <f t="shared" si="2"/>
        <v>0.20864</v>
      </c>
      <c r="I17" s="18">
        <f t="shared" si="3"/>
        <v>1.99824</v>
      </c>
      <c r="J17" s="18">
        <f t="shared" si="4"/>
        <v>0.00264</v>
      </c>
      <c r="K17" s="96">
        <f t="shared" si="5"/>
        <v>0.035173129540522693</v>
      </c>
      <c r="L17" s="115"/>
      <c r="M17" s="125"/>
      <c r="N17" s="125"/>
    </row>
    <row r="18" spans="2:14" s="91" customFormat="1" ht="12.75">
      <c r="B18" s="114" t="s">
        <v>154</v>
      </c>
      <c r="C18" s="188">
        <v>11</v>
      </c>
      <c r="D18" s="143">
        <v>1</v>
      </c>
      <c r="E18" s="203">
        <v>10</v>
      </c>
      <c r="F18" s="204">
        <f t="shared" si="0"/>
        <v>110</v>
      </c>
      <c r="G18" s="94">
        <f t="shared" si="1"/>
        <v>1.9200499999999998</v>
      </c>
      <c r="H18" s="129">
        <f t="shared" si="2"/>
        <v>0.28688</v>
      </c>
      <c r="I18" s="18">
        <f t="shared" si="3"/>
        <v>2.74758</v>
      </c>
      <c r="J18" s="18">
        <f t="shared" si="4"/>
        <v>0.0036300000000000004</v>
      </c>
      <c r="K18" s="92">
        <f t="shared" si="5"/>
        <v>0.0483630531182187</v>
      </c>
      <c r="L18" s="115"/>
      <c r="M18" s="125"/>
      <c r="N18" s="125"/>
    </row>
    <row r="19" spans="2:14" ht="13.5" thickBot="1">
      <c r="B19" s="193" t="s">
        <v>129</v>
      </c>
      <c r="C19" s="194">
        <v>89</v>
      </c>
      <c r="D19" s="195">
        <v>1</v>
      </c>
      <c r="E19" s="196">
        <v>30</v>
      </c>
      <c r="F19" s="197">
        <f t="shared" si="0"/>
        <v>2670</v>
      </c>
      <c r="G19" s="198">
        <f t="shared" si="1"/>
        <v>46.60485</v>
      </c>
      <c r="H19" s="199">
        <f t="shared" si="2"/>
        <v>6.96336</v>
      </c>
      <c r="I19" s="200">
        <f t="shared" si="3"/>
        <v>66.69126</v>
      </c>
      <c r="J19" s="200">
        <f t="shared" si="4"/>
        <v>0.08811000000000001</v>
      </c>
      <c r="K19" s="201">
        <f t="shared" si="5"/>
        <v>1.1739031984149448</v>
      </c>
      <c r="L19" s="115"/>
      <c r="M19" s="125"/>
      <c r="N19" s="125"/>
    </row>
    <row r="20" spans="2:14" ht="14.25" thickBot="1" thickTop="1">
      <c r="B20" s="189" t="s">
        <v>128</v>
      </c>
      <c r="C20" s="190"/>
      <c r="D20" s="190"/>
      <c r="E20" s="190"/>
      <c r="F20" s="190"/>
      <c r="G20" s="191">
        <f>SUM(G13:G19)</f>
        <v>315.75880000000006</v>
      </c>
      <c r="H20" s="191">
        <f>SUM(H13:H19)</f>
        <v>36.20948</v>
      </c>
      <c r="I20" s="191">
        <f>SUM(I13:I19)</f>
        <v>101.97148</v>
      </c>
      <c r="J20" s="191">
        <f>SUM(J13:J19)</f>
        <v>0.28308</v>
      </c>
      <c r="K20" s="192">
        <f>SUM(K13:K19)</f>
        <v>2.9494057929993396</v>
      </c>
      <c r="L20" s="125"/>
      <c r="M20" s="125"/>
      <c r="N20" s="125"/>
    </row>
    <row r="21" spans="2:13" ht="13.5" customHeight="1" hidden="1" thickBot="1">
      <c r="B21" s="45"/>
      <c r="C21" s="71"/>
      <c r="D21" s="71"/>
      <c r="E21" s="71"/>
      <c r="F21" s="116"/>
      <c r="G21" s="116"/>
      <c r="H21" s="116"/>
      <c r="I21" s="116"/>
      <c r="J21" s="116"/>
      <c r="K21" s="116"/>
      <c r="L21" s="116"/>
      <c r="M21" s="116"/>
    </row>
    <row r="22" spans="2:13" ht="13.5" customHeight="1" hidden="1" thickBot="1">
      <c r="B22" s="39" t="s">
        <v>53</v>
      </c>
      <c r="C22" s="271" t="s">
        <v>51</v>
      </c>
      <c r="D22" s="271"/>
      <c r="E22" s="270" t="s">
        <v>0</v>
      </c>
      <c r="F22" s="271"/>
      <c r="G22" s="270" t="s">
        <v>1</v>
      </c>
      <c r="H22" s="271"/>
      <c r="I22" s="270" t="s">
        <v>2</v>
      </c>
      <c r="J22" s="270"/>
      <c r="K22" s="270" t="s">
        <v>6</v>
      </c>
      <c r="L22" s="270"/>
      <c r="M22" s="60" t="s">
        <v>3</v>
      </c>
    </row>
    <row r="23" spans="2:13" ht="41.25" customHeight="1" hidden="1">
      <c r="B23" s="57" t="s">
        <v>106</v>
      </c>
      <c r="C23" s="178">
        <f>C13+C16</f>
        <v>631</v>
      </c>
      <c r="D23" s="155">
        <f>D13+D16</f>
        <v>3</v>
      </c>
      <c r="E23" s="298">
        <f>G13+G16</f>
        <v>260.6523</v>
      </c>
      <c r="F23" s="267"/>
      <c r="G23" s="266">
        <f>H13+H16</f>
        <v>28.162229999999997</v>
      </c>
      <c r="H23" s="267"/>
      <c r="I23" s="266">
        <f>I13+I16</f>
        <v>29.05893</v>
      </c>
      <c r="J23" s="267"/>
      <c r="K23" s="266">
        <f>J13+J16</f>
        <v>0.18423</v>
      </c>
      <c r="L23" s="267"/>
      <c r="M23" s="183">
        <f>K13+K16</f>
        <v>1.646379847155392</v>
      </c>
    </row>
    <row r="24" spans="2:13" ht="24.75" customHeight="1" hidden="1">
      <c r="B24" s="114"/>
      <c r="C24" s="90"/>
      <c r="D24" s="127"/>
      <c r="E24" s="262"/>
      <c r="F24" s="263"/>
      <c r="G24" s="264"/>
      <c r="H24" s="263"/>
      <c r="I24" s="264"/>
      <c r="J24" s="263"/>
      <c r="K24" s="264"/>
      <c r="L24" s="265"/>
      <c r="M24" s="96"/>
    </row>
    <row r="25" spans="2:13" ht="24.75" customHeight="1" hidden="1">
      <c r="B25" s="114"/>
      <c r="C25" s="90"/>
      <c r="D25" s="127"/>
      <c r="E25" s="262"/>
      <c r="F25" s="263"/>
      <c r="G25" s="264"/>
      <c r="H25" s="263"/>
      <c r="I25" s="264"/>
      <c r="J25" s="263"/>
      <c r="K25" s="264"/>
      <c r="L25" s="265"/>
      <c r="M25" s="96"/>
    </row>
    <row r="26" spans="2:13" ht="24.75" customHeight="1" hidden="1">
      <c r="B26" s="114"/>
      <c r="C26" s="90"/>
      <c r="D26" s="127"/>
      <c r="E26" s="262"/>
      <c r="F26" s="263"/>
      <c r="G26" s="264"/>
      <c r="H26" s="263"/>
      <c r="I26" s="264"/>
      <c r="J26" s="263"/>
      <c r="K26" s="264"/>
      <c r="L26" s="265"/>
      <c r="M26" s="96"/>
    </row>
    <row r="27" spans="2:13" ht="24.75" customHeight="1" hidden="1">
      <c r="B27" s="114"/>
      <c r="C27" s="90"/>
      <c r="D27" s="127"/>
      <c r="E27" s="262"/>
      <c r="F27" s="263"/>
      <c r="G27" s="264"/>
      <c r="H27" s="263"/>
      <c r="I27" s="264"/>
      <c r="J27" s="263"/>
      <c r="K27" s="264"/>
      <c r="L27" s="265"/>
      <c r="M27" s="96"/>
    </row>
    <row r="28" spans="2:13" ht="24.75" customHeight="1" hidden="1">
      <c r="B28" s="114"/>
      <c r="C28" s="90"/>
      <c r="D28" s="127"/>
      <c r="E28" s="262"/>
      <c r="F28" s="263"/>
      <c r="G28" s="264"/>
      <c r="H28" s="263"/>
      <c r="I28" s="264"/>
      <c r="J28" s="263"/>
      <c r="K28" s="264"/>
      <c r="L28" s="265"/>
      <c r="M28" s="96"/>
    </row>
    <row r="29" spans="2:13" ht="24.75" customHeight="1" hidden="1">
      <c r="B29" s="114" t="s">
        <v>109</v>
      </c>
      <c r="C29" s="90">
        <f>C18</f>
        <v>11</v>
      </c>
      <c r="D29" s="127">
        <f>D18</f>
        <v>1</v>
      </c>
      <c r="E29" s="262">
        <f>G18</f>
        <v>1.9200499999999998</v>
      </c>
      <c r="F29" s="263"/>
      <c r="G29" s="264">
        <f>H18</f>
        <v>0.28688</v>
      </c>
      <c r="H29" s="263"/>
      <c r="I29" s="264">
        <f>I18</f>
        <v>2.74758</v>
      </c>
      <c r="J29" s="263"/>
      <c r="K29" s="264">
        <f>J18</f>
        <v>0.0036300000000000004</v>
      </c>
      <c r="L29" s="265"/>
      <c r="M29" s="96">
        <f>K18</f>
        <v>0.0483630531182187</v>
      </c>
    </row>
    <row r="30" spans="2:13" ht="12.75" customHeight="1" hidden="1">
      <c r="B30" s="294" t="s">
        <v>54</v>
      </c>
      <c r="C30" s="269">
        <f>C17</f>
        <v>8</v>
      </c>
      <c r="D30" s="292">
        <f>D17</f>
        <v>1</v>
      </c>
      <c r="E30" s="289">
        <f>G17</f>
        <v>1.3963999999999999</v>
      </c>
      <c r="F30" s="290"/>
      <c r="G30" s="291">
        <f>H17</f>
        <v>0.20864</v>
      </c>
      <c r="H30" s="268"/>
      <c r="I30" s="291">
        <f>+I17</f>
        <v>1.99824</v>
      </c>
      <c r="J30" s="268"/>
      <c r="K30" s="291">
        <f>J17</f>
        <v>0.00264</v>
      </c>
      <c r="L30" s="291"/>
      <c r="M30" s="288">
        <f>K17</f>
        <v>0.035173129540522693</v>
      </c>
    </row>
    <row r="31" spans="2:13" ht="15.75" customHeight="1" hidden="1">
      <c r="B31" s="295"/>
      <c r="C31" s="287"/>
      <c r="D31" s="293"/>
      <c r="E31" s="287"/>
      <c r="F31" s="290"/>
      <c r="G31" s="268"/>
      <c r="H31" s="268"/>
      <c r="I31" s="268"/>
      <c r="J31" s="268"/>
      <c r="K31" s="291"/>
      <c r="L31" s="291"/>
      <c r="M31" s="288"/>
    </row>
    <row r="32" spans="2:13" ht="27.75" customHeight="1" hidden="1" thickBot="1">
      <c r="B32" s="139" t="s">
        <v>55</v>
      </c>
      <c r="C32" s="93" t="e">
        <f>C19+#REF!</f>
        <v>#REF!</v>
      </c>
      <c r="D32" s="123" t="e">
        <f>+#REF!+D19</f>
        <v>#REF!</v>
      </c>
      <c r="E32" s="286" t="e">
        <f>+#REF!+G19</f>
        <v>#REF!</v>
      </c>
      <c r="F32" s="273"/>
      <c r="G32" s="285" t="e">
        <f>#REF!+#REF!</f>
        <v>#REF!</v>
      </c>
      <c r="H32" s="273"/>
      <c r="I32" s="285" t="e">
        <f>#REF!+I19</f>
        <v>#REF!</v>
      </c>
      <c r="J32" s="273"/>
      <c r="K32" s="285" t="e">
        <f>#REF!+J19</f>
        <v>#REF!</v>
      </c>
      <c r="L32" s="285"/>
      <c r="M32" s="86" t="e">
        <f>#REF!+K19</f>
        <v>#REF!</v>
      </c>
    </row>
    <row r="33" spans="2:13" ht="14.25" customHeight="1" hidden="1" thickBot="1">
      <c r="B33" s="1" t="s">
        <v>124</v>
      </c>
      <c r="C33" s="1"/>
      <c r="D33" s="2"/>
      <c r="E33" s="270" t="e">
        <f>SUM(E23:F32)</f>
        <v>#REF!</v>
      </c>
      <c r="F33" s="271"/>
      <c r="G33" s="270" t="e">
        <f>SUM(G23:H32)</f>
        <v>#REF!</v>
      </c>
      <c r="H33" s="271"/>
      <c r="I33" s="270" t="e">
        <f>SUM(I23:J32)</f>
        <v>#REF!</v>
      </c>
      <c r="J33" s="271"/>
      <c r="K33" s="270" t="e">
        <f>SUM(K23:L32)</f>
        <v>#REF!</v>
      </c>
      <c r="L33" s="271"/>
      <c r="M33" s="60" t="e">
        <f>SUM(M23:M32)</f>
        <v>#REF!</v>
      </c>
    </row>
    <row r="35" ht="12.75">
      <c r="B35" s="141" t="s">
        <v>215</v>
      </c>
    </row>
    <row r="36" ht="12.75">
      <c r="B36" s="10"/>
    </row>
    <row r="37" spans="2:13" ht="12.75">
      <c r="B37" t="s">
        <v>161</v>
      </c>
      <c r="M37" s="53"/>
    </row>
  </sheetData>
  <sheetProtection/>
  <mergeCells count="93">
    <mergeCell ref="K29:L29"/>
    <mergeCell ref="B30:B31"/>
    <mergeCell ref="B1:L1"/>
    <mergeCell ref="A15:A16"/>
    <mergeCell ref="E29:F29"/>
    <mergeCell ref="G29:H29"/>
    <mergeCell ref="I29:J29"/>
    <mergeCell ref="C22:D22"/>
    <mergeCell ref="E22:F22"/>
    <mergeCell ref="E23:F23"/>
    <mergeCell ref="C4:D4"/>
    <mergeCell ref="C30:C31"/>
    <mergeCell ref="M30:M31"/>
    <mergeCell ref="E30:F31"/>
    <mergeCell ref="G30:H31"/>
    <mergeCell ref="I30:J31"/>
    <mergeCell ref="K30:L31"/>
    <mergeCell ref="D30:D31"/>
    <mergeCell ref="K33:L33"/>
    <mergeCell ref="K32:L32"/>
    <mergeCell ref="E32:F32"/>
    <mergeCell ref="G32:H32"/>
    <mergeCell ref="I32:J32"/>
    <mergeCell ref="E33:F33"/>
    <mergeCell ref="G33:H33"/>
    <mergeCell ref="I33:J33"/>
    <mergeCell ref="G4:H4"/>
    <mergeCell ref="I4:J4"/>
    <mergeCell ref="I3:J3"/>
    <mergeCell ref="E4:F4"/>
    <mergeCell ref="G2:H2"/>
    <mergeCell ref="I2:J2"/>
    <mergeCell ref="C3:D3"/>
    <mergeCell ref="E2:F2"/>
    <mergeCell ref="E3:F3"/>
    <mergeCell ref="C2:D2"/>
    <mergeCell ref="K3:L3"/>
    <mergeCell ref="G3:H3"/>
    <mergeCell ref="K2:L2"/>
    <mergeCell ref="K5:L5"/>
    <mergeCell ref="K6:L6"/>
    <mergeCell ref="K7:L7"/>
    <mergeCell ref="K8:L8"/>
    <mergeCell ref="K4:L4"/>
    <mergeCell ref="G22:H22"/>
    <mergeCell ref="I22:J22"/>
    <mergeCell ref="C9:D9"/>
    <mergeCell ref="E9:F9"/>
    <mergeCell ref="G9:H9"/>
    <mergeCell ref="I9:J9"/>
    <mergeCell ref="C11:F11"/>
    <mergeCell ref="G11:K11"/>
    <mergeCell ref="K9:L9"/>
    <mergeCell ref="K22:L22"/>
    <mergeCell ref="C5:D5"/>
    <mergeCell ref="E5:F5"/>
    <mergeCell ref="G5:H5"/>
    <mergeCell ref="I5:J5"/>
    <mergeCell ref="C7:D7"/>
    <mergeCell ref="E7:F7"/>
    <mergeCell ref="G7:H7"/>
    <mergeCell ref="I7:J7"/>
    <mergeCell ref="C6:D6"/>
    <mergeCell ref="E6:F6"/>
    <mergeCell ref="G6:H6"/>
    <mergeCell ref="I6:J6"/>
    <mergeCell ref="C8:D8"/>
    <mergeCell ref="E8:F8"/>
    <mergeCell ref="G8:H8"/>
    <mergeCell ref="I8:J8"/>
    <mergeCell ref="G23:H23"/>
    <mergeCell ref="I23:J23"/>
    <mergeCell ref="K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I26:J26"/>
    <mergeCell ref="K26:L26"/>
    <mergeCell ref="E28:F28"/>
    <mergeCell ref="G28:H28"/>
    <mergeCell ref="I28:J28"/>
    <mergeCell ref="K28:L28"/>
    <mergeCell ref="E27:F27"/>
    <mergeCell ref="G27:H27"/>
    <mergeCell ref="I27:J27"/>
    <mergeCell ref="K27:L27"/>
  </mergeCells>
  <printOptions horizontalCentered="1"/>
  <pageMargins left="0.75" right="0.75" top="1.3" bottom="0.5" header="0.75" footer="0.5"/>
  <pageSetup firstPageNumber="3" useFirstPageNumber="1" fitToHeight="1" fitToWidth="1" horizontalDpi="600" verticalDpi="600" orientation="landscape" scale="86" r:id="rId1"/>
  <headerFooter alignWithMargins="0">
    <oddHeader>&amp;C&amp;"Arial,Bold"&amp;14Table C-9
On-site/Off-site Construction Vehicle Emissions - November 2007&amp;12
</oddHeader>
    <oddFooter>&amp;L&amp;8M:\MC\2393 BP\EIR\&amp;F:&amp;A&amp;R&amp;8&amp;D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37"/>
  <sheetViews>
    <sheetView zoomScale="80" zoomScaleNormal="80" zoomScalePageLayoutView="0" workbookViewId="0" topLeftCell="A4">
      <selection activeCell="B35" sqref="B35"/>
    </sheetView>
  </sheetViews>
  <sheetFormatPr defaultColWidth="9.140625" defaultRowHeight="12.75"/>
  <cols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17.8515625" style="0" customWidth="1"/>
  </cols>
  <sheetData>
    <row r="1" spans="2:12" s="16" customFormat="1" ht="13.5" thickBot="1">
      <c r="B1" s="296" t="s">
        <v>162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2:12" ht="30" customHeight="1" thickBot="1">
      <c r="B2" s="128" t="s">
        <v>49</v>
      </c>
      <c r="C2" s="306" t="s">
        <v>96</v>
      </c>
      <c r="D2" s="307"/>
      <c r="E2" s="306" t="s">
        <v>97</v>
      </c>
      <c r="F2" s="308"/>
      <c r="G2" s="306" t="s">
        <v>98</v>
      </c>
      <c r="H2" s="307"/>
      <c r="I2" s="306" t="s">
        <v>99</v>
      </c>
      <c r="J2" s="308"/>
      <c r="K2" s="306" t="s">
        <v>100</v>
      </c>
      <c r="L2" s="307"/>
    </row>
    <row r="3" spans="2:12" ht="26.25">
      <c r="B3" s="179" t="s">
        <v>50</v>
      </c>
      <c r="C3" s="281">
        <v>0.011798</v>
      </c>
      <c r="D3" s="282"/>
      <c r="E3" s="282">
        <v>0.001277</v>
      </c>
      <c r="F3" s="282"/>
      <c r="G3" s="282">
        <v>0.001245</v>
      </c>
      <c r="H3" s="282"/>
      <c r="I3" s="282">
        <v>9E-06</v>
      </c>
      <c r="J3" s="282"/>
      <c r="K3" s="282">
        <v>8E-05</v>
      </c>
      <c r="L3" s="284"/>
    </row>
    <row r="4" spans="2:12" ht="12.75">
      <c r="B4" s="114" t="s">
        <v>156</v>
      </c>
      <c r="C4" s="299">
        <v>0.011798</v>
      </c>
      <c r="D4" s="300"/>
      <c r="E4" s="300">
        <v>0.001277</v>
      </c>
      <c r="F4" s="300"/>
      <c r="G4" s="300">
        <v>0.001245</v>
      </c>
      <c r="H4" s="300"/>
      <c r="I4" s="300">
        <v>9E-06</v>
      </c>
      <c r="J4" s="300"/>
      <c r="K4" s="300">
        <v>8E-05</v>
      </c>
      <c r="L4" s="302"/>
    </row>
    <row r="5" spans="2:12" ht="12.75">
      <c r="B5" s="114" t="s">
        <v>107</v>
      </c>
      <c r="C5" s="269">
        <v>0.015942</v>
      </c>
      <c r="D5" s="268"/>
      <c r="E5" s="268">
        <v>0.00245</v>
      </c>
      <c r="F5" s="268"/>
      <c r="G5" s="268">
        <v>0.023199</v>
      </c>
      <c r="H5" s="268"/>
      <c r="I5" s="268">
        <v>3.3E-05</v>
      </c>
      <c r="J5" s="268"/>
      <c r="K5" s="292">
        <v>0.000419</v>
      </c>
      <c r="L5" s="301"/>
    </row>
    <row r="6" spans="2:12" ht="12.75">
      <c r="B6" s="114" t="s">
        <v>95</v>
      </c>
      <c r="C6" s="269">
        <v>0.015942</v>
      </c>
      <c r="D6" s="268"/>
      <c r="E6" s="268">
        <v>0.00245</v>
      </c>
      <c r="F6" s="268"/>
      <c r="G6" s="268">
        <v>0.023199</v>
      </c>
      <c r="H6" s="268"/>
      <c r="I6" s="268">
        <v>3.3E-05</v>
      </c>
      <c r="J6" s="268"/>
      <c r="K6" s="292">
        <v>0.000419</v>
      </c>
      <c r="L6" s="301"/>
    </row>
    <row r="7" spans="2:12" ht="12.75">
      <c r="B7" s="114" t="s">
        <v>155</v>
      </c>
      <c r="C7" s="269">
        <v>0.015942</v>
      </c>
      <c r="D7" s="268"/>
      <c r="E7" s="268">
        <v>0.00245</v>
      </c>
      <c r="F7" s="268"/>
      <c r="G7" s="268">
        <v>0.023199</v>
      </c>
      <c r="H7" s="268"/>
      <c r="I7" s="268">
        <v>3.3E-05</v>
      </c>
      <c r="J7" s="268"/>
      <c r="K7" s="292">
        <v>0.000419</v>
      </c>
      <c r="L7" s="301"/>
    </row>
    <row r="8" spans="2:12" ht="12.75">
      <c r="B8" s="114" t="s">
        <v>154</v>
      </c>
      <c r="C8" s="269">
        <v>0.015942</v>
      </c>
      <c r="D8" s="268"/>
      <c r="E8" s="268">
        <v>0.00245</v>
      </c>
      <c r="F8" s="268"/>
      <c r="G8" s="268">
        <v>0.023199</v>
      </c>
      <c r="H8" s="268"/>
      <c r="I8" s="268">
        <v>3.3E-05</v>
      </c>
      <c r="J8" s="268"/>
      <c r="K8" s="292">
        <v>0.000419</v>
      </c>
      <c r="L8" s="301"/>
    </row>
    <row r="9" spans="2:12" ht="13.5" thickBot="1">
      <c r="B9" s="126" t="s">
        <v>129</v>
      </c>
      <c r="C9" s="272">
        <v>0.015942</v>
      </c>
      <c r="D9" s="273"/>
      <c r="E9" s="273">
        <v>0.00245</v>
      </c>
      <c r="F9" s="273"/>
      <c r="G9" s="273">
        <v>0.023199</v>
      </c>
      <c r="H9" s="273"/>
      <c r="I9" s="273">
        <v>3.3E-05</v>
      </c>
      <c r="J9" s="273"/>
      <c r="K9" s="303">
        <v>0.000419</v>
      </c>
      <c r="L9" s="304"/>
    </row>
    <row r="10" ht="13.5" thickBot="1"/>
    <row r="11" spans="2:13" ht="13.5" thickBot="1">
      <c r="B11" s="59"/>
      <c r="C11" s="274" t="s">
        <v>51</v>
      </c>
      <c r="D11" s="275"/>
      <c r="E11" s="275"/>
      <c r="F11" s="276"/>
      <c r="G11" s="274" t="s">
        <v>52</v>
      </c>
      <c r="H11" s="275"/>
      <c r="I11" s="275"/>
      <c r="J11" s="275"/>
      <c r="K11" s="276"/>
      <c r="L11" s="22"/>
      <c r="M11" s="22"/>
    </row>
    <row r="12" spans="2:14" ht="39.75" thickBot="1">
      <c r="B12" s="44" t="s">
        <v>53</v>
      </c>
      <c r="C12" s="118" t="s">
        <v>160</v>
      </c>
      <c r="D12" s="124" t="s">
        <v>159</v>
      </c>
      <c r="E12" s="186" t="s">
        <v>157</v>
      </c>
      <c r="F12" s="117" t="s">
        <v>158</v>
      </c>
      <c r="G12" s="95" t="s">
        <v>101</v>
      </c>
      <c r="H12" s="14" t="s">
        <v>102</v>
      </c>
      <c r="I12" s="95" t="s">
        <v>103</v>
      </c>
      <c r="J12" s="95" t="s">
        <v>104</v>
      </c>
      <c r="K12" s="14" t="s">
        <v>105</v>
      </c>
      <c r="L12" s="42"/>
      <c r="M12" s="119"/>
      <c r="N12" s="119"/>
    </row>
    <row r="13" spans="2:14" ht="26.25">
      <c r="B13" s="179" t="s">
        <v>50</v>
      </c>
      <c r="C13" s="184">
        <v>765</v>
      </c>
      <c r="D13" s="185">
        <v>2</v>
      </c>
      <c r="E13" s="187">
        <v>16.2</v>
      </c>
      <c r="F13" s="202">
        <f>E13*D13*C13</f>
        <v>24786</v>
      </c>
      <c r="G13" s="156">
        <f aca="true" t="shared" si="0" ref="G13:G19">F13*C3</f>
        <v>292.425228</v>
      </c>
      <c r="H13" s="152">
        <f aca="true" t="shared" si="1" ref="H13:H19">F13*E3</f>
        <v>31.651722</v>
      </c>
      <c r="I13" s="182">
        <f aca="true" t="shared" si="2" ref="I13:I19">F13*G3</f>
        <v>30.85857</v>
      </c>
      <c r="J13" s="182">
        <f aca="true" t="shared" si="3" ref="J13:J19">F13*I3</f>
        <v>0.223074</v>
      </c>
      <c r="K13" s="183">
        <f aca="true" t="shared" si="4" ref="K13:K19">F13*K3</f>
        <v>1.9828800000000002</v>
      </c>
      <c r="L13" s="180"/>
      <c r="M13" s="181"/>
      <c r="N13" s="181"/>
    </row>
    <row r="14" spans="2:14" ht="12.75">
      <c r="B14" s="114" t="s">
        <v>156</v>
      </c>
      <c r="C14" s="188">
        <v>33</v>
      </c>
      <c r="D14" s="143">
        <v>1</v>
      </c>
      <c r="E14" s="203">
        <v>10</v>
      </c>
      <c r="F14" s="204">
        <f aca="true" t="shared" si="5" ref="F14:F19">E14*D14*C14</f>
        <v>330</v>
      </c>
      <c r="G14" s="94">
        <f t="shared" si="0"/>
        <v>3.89334</v>
      </c>
      <c r="H14" s="129">
        <f t="shared" si="1"/>
        <v>0.42140999999999995</v>
      </c>
      <c r="I14" s="18">
        <f t="shared" si="2"/>
        <v>0.41085</v>
      </c>
      <c r="J14" s="18">
        <f t="shared" si="3"/>
        <v>0.00297</v>
      </c>
      <c r="K14" s="96">
        <f t="shared" si="4"/>
        <v>0.026400000000000003</v>
      </c>
      <c r="L14" s="180"/>
      <c r="M14" s="181"/>
      <c r="N14" s="181"/>
    </row>
    <row r="15" spans="1:14" ht="12.75">
      <c r="A15" s="305" t="s">
        <v>199</v>
      </c>
      <c r="B15" s="114" t="s">
        <v>107</v>
      </c>
      <c r="C15" s="188">
        <v>9</v>
      </c>
      <c r="D15" s="143">
        <v>1</v>
      </c>
      <c r="E15" s="203">
        <v>4</v>
      </c>
      <c r="F15" s="204">
        <f t="shared" si="5"/>
        <v>36</v>
      </c>
      <c r="G15" s="94">
        <f t="shared" si="0"/>
        <v>0.5739120000000001</v>
      </c>
      <c r="H15" s="129">
        <f t="shared" si="1"/>
        <v>0.0882</v>
      </c>
      <c r="I15" s="18">
        <f t="shared" si="2"/>
        <v>0.835164</v>
      </c>
      <c r="J15" s="18">
        <f t="shared" si="3"/>
        <v>0.001188</v>
      </c>
      <c r="K15" s="96">
        <f t="shared" si="4"/>
        <v>0.015084</v>
      </c>
      <c r="L15" s="180"/>
      <c r="M15" s="181"/>
      <c r="N15" s="181"/>
    </row>
    <row r="16" spans="1:14" s="91" customFormat="1" ht="12.75">
      <c r="A16" s="305"/>
      <c r="B16" s="114" t="s">
        <v>95</v>
      </c>
      <c r="C16" s="188">
        <v>6</v>
      </c>
      <c r="D16" s="143">
        <v>1</v>
      </c>
      <c r="E16" s="203">
        <v>10</v>
      </c>
      <c r="F16" s="204">
        <f t="shared" si="5"/>
        <v>60</v>
      </c>
      <c r="G16" s="94">
        <f t="shared" si="0"/>
        <v>0.95652</v>
      </c>
      <c r="H16" s="129">
        <f t="shared" si="1"/>
        <v>0.147</v>
      </c>
      <c r="I16" s="18">
        <f t="shared" si="2"/>
        <v>1.39194</v>
      </c>
      <c r="J16" s="18">
        <f t="shared" si="3"/>
        <v>0.00198</v>
      </c>
      <c r="K16" s="96">
        <f t="shared" si="4"/>
        <v>0.02514</v>
      </c>
      <c r="L16" s="115"/>
      <c r="M16" s="125"/>
      <c r="N16" s="125"/>
    </row>
    <row r="17" spans="1:14" s="91" customFormat="1" ht="12.75" customHeight="1">
      <c r="A17" s="305"/>
      <c r="B17" s="114" t="s">
        <v>155</v>
      </c>
      <c r="C17" s="188">
        <v>5</v>
      </c>
      <c r="D17" s="143">
        <v>1</v>
      </c>
      <c r="E17" s="203">
        <v>10</v>
      </c>
      <c r="F17" s="204">
        <f t="shared" si="5"/>
        <v>50</v>
      </c>
      <c r="G17" s="94">
        <f t="shared" si="0"/>
        <v>0.7971</v>
      </c>
      <c r="H17" s="129">
        <f t="shared" si="1"/>
        <v>0.1225</v>
      </c>
      <c r="I17" s="18">
        <f t="shared" si="2"/>
        <v>1.15995</v>
      </c>
      <c r="J17" s="18">
        <f t="shared" si="3"/>
        <v>0.0016500000000000002</v>
      </c>
      <c r="K17" s="96">
        <f t="shared" si="4"/>
        <v>0.02095</v>
      </c>
      <c r="L17" s="115"/>
      <c r="M17" s="125"/>
      <c r="N17" s="125"/>
    </row>
    <row r="18" spans="2:14" s="91" customFormat="1" ht="12.75">
      <c r="B18" s="114" t="s">
        <v>154</v>
      </c>
      <c r="C18" s="188">
        <v>9</v>
      </c>
      <c r="D18" s="143">
        <v>1</v>
      </c>
      <c r="E18" s="203">
        <v>10</v>
      </c>
      <c r="F18" s="204">
        <f t="shared" si="5"/>
        <v>90</v>
      </c>
      <c r="G18" s="94">
        <f t="shared" si="0"/>
        <v>1.4347800000000002</v>
      </c>
      <c r="H18" s="129">
        <f t="shared" si="1"/>
        <v>0.2205</v>
      </c>
      <c r="I18" s="18">
        <f t="shared" si="2"/>
        <v>2.08791</v>
      </c>
      <c r="J18" s="18">
        <f t="shared" si="3"/>
        <v>0.0029700000000000004</v>
      </c>
      <c r="K18" s="92">
        <f t="shared" si="4"/>
        <v>0.03771</v>
      </c>
      <c r="L18" s="115"/>
      <c r="M18" s="125"/>
      <c r="N18" s="125"/>
    </row>
    <row r="19" spans="1:14" ht="13.5" thickBot="1">
      <c r="A19" s="244"/>
      <c r="B19" s="193" t="s">
        <v>129</v>
      </c>
      <c r="C19" s="194">
        <v>77</v>
      </c>
      <c r="D19" s="195">
        <v>1</v>
      </c>
      <c r="E19" s="196">
        <v>30</v>
      </c>
      <c r="F19" s="197">
        <f t="shared" si="5"/>
        <v>2310</v>
      </c>
      <c r="G19" s="198">
        <f t="shared" si="0"/>
        <v>36.82602</v>
      </c>
      <c r="H19" s="199">
        <f t="shared" si="1"/>
        <v>5.6594999999999995</v>
      </c>
      <c r="I19" s="200">
        <f t="shared" si="2"/>
        <v>53.589690000000004</v>
      </c>
      <c r="J19" s="200">
        <f t="shared" si="3"/>
        <v>0.07623</v>
      </c>
      <c r="K19" s="201">
        <f t="shared" si="4"/>
        <v>0.96789</v>
      </c>
      <c r="L19" s="115"/>
      <c r="M19" s="125"/>
      <c r="N19" s="125"/>
    </row>
    <row r="20" spans="2:14" ht="14.25" thickBot="1" thickTop="1">
      <c r="B20" s="189" t="s">
        <v>128</v>
      </c>
      <c r="C20" s="190"/>
      <c r="D20" s="190"/>
      <c r="E20" s="190"/>
      <c r="F20" s="190"/>
      <c r="G20" s="191">
        <f>SUM(G13:G19)</f>
        <v>336.90690000000006</v>
      </c>
      <c r="H20" s="191">
        <f>SUM(H13:H19)</f>
        <v>38.310832000000005</v>
      </c>
      <c r="I20" s="191">
        <f>SUM(I13:I19)</f>
        <v>90.33407400000002</v>
      </c>
      <c r="J20" s="191">
        <f>SUM(J13:J19)</f>
        <v>0.310062</v>
      </c>
      <c r="K20" s="192">
        <f>SUM(K13:K19)</f>
        <v>3.0760540000000005</v>
      </c>
      <c r="L20" s="125"/>
      <c r="M20" s="125"/>
      <c r="N20" s="125"/>
    </row>
    <row r="21" spans="2:13" ht="13.5" customHeight="1" hidden="1" thickBot="1">
      <c r="B21" s="45"/>
      <c r="C21" s="71"/>
      <c r="D21" s="71"/>
      <c r="E21" s="71"/>
      <c r="F21" s="116"/>
      <c r="G21" s="116"/>
      <c r="H21" s="116"/>
      <c r="I21" s="116"/>
      <c r="J21" s="116"/>
      <c r="K21" s="116"/>
      <c r="L21" s="116"/>
      <c r="M21" s="116"/>
    </row>
    <row r="22" spans="2:13" ht="13.5" customHeight="1" hidden="1" thickBot="1">
      <c r="B22" s="39" t="s">
        <v>53</v>
      </c>
      <c r="C22" s="271" t="s">
        <v>51</v>
      </c>
      <c r="D22" s="271"/>
      <c r="E22" s="270" t="s">
        <v>0</v>
      </c>
      <c r="F22" s="271"/>
      <c r="G22" s="270" t="s">
        <v>1</v>
      </c>
      <c r="H22" s="271"/>
      <c r="I22" s="270" t="s">
        <v>2</v>
      </c>
      <c r="J22" s="270"/>
      <c r="K22" s="270" t="s">
        <v>6</v>
      </c>
      <c r="L22" s="270"/>
      <c r="M22" s="60" t="s">
        <v>3</v>
      </c>
    </row>
    <row r="23" spans="2:13" ht="41.25" customHeight="1" hidden="1">
      <c r="B23" s="57" t="s">
        <v>106</v>
      </c>
      <c r="C23" s="178">
        <f>C13+C16</f>
        <v>771</v>
      </c>
      <c r="D23" s="155">
        <f>D13+D16</f>
        <v>3</v>
      </c>
      <c r="E23" s="298">
        <f>G13+G16</f>
        <v>293.381748</v>
      </c>
      <c r="F23" s="267"/>
      <c r="G23" s="266">
        <f>H13+H16</f>
        <v>31.798721999999998</v>
      </c>
      <c r="H23" s="267"/>
      <c r="I23" s="266">
        <f>I13+I16</f>
        <v>32.25051</v>
      </c>
      <c r="J23" s="267"/>
      <c r="K23" s="266">
        <f>J13+J16</f>
        <v>0.225054</v>
      </c>
      <c r="L23" s="267"/>
      <c r="M23" s="183">
        <f>K13+K16</f>
        <v>2.00802</v>
      </c>
    </row>
    <row r="24" spans="2:13" ht="24.75" customHeight="1" hidden="1">
      <c r="B24" s="114"/>
      <c r="C24" s="90"/>
      <c r="D24" s="127"/>
      <c r="E24" s="262"/>
      <c r="F24" s="263"/>
      <c r="G24" s="264"/>
      <c r="H24" s="263"/>
      <c r="I24" s="264"/>
      <c r="J24" s="263"/>
      <c r="K24" s="264"/>
      <c r="L24" s="265"/>
      <c r="M24" s="96"/>
    </row>
    <row r="25" spans="2:13" ht="24.75" customHeight="1" hidden="1">
      <c r="B25" s="114"/>
      <c r="C25" s="90"/>
      <c r="D25" s="127"/>
      <c r="E25" s="262"/>
      <c r="F25" s="263"/>
      <c r="G25" s="264"/>
      <c r="H25" s="263"/>
      <c r="I25" s="264"/>
      <c r="J25" s="263"/>
      <c r="K25" s="264"/>
      <c r="L25" s="265"/>
      <c r="M25" s="96"/>
    </row>
    <row r="26" spans="2:13" ht="24.75" customHeight="1" hidden="1">
      <c r="B26" s="114"/>
      <c r="C26" s="90"/>
      <c r="D26" s="127"/>
      <c r="E26" s="262"/>
      <c r="F26" s="263"/>
      <c r="G26" s="264"/>
      <c r="H26" s="263"/>
      <c r="I26" s="264"/>
      <c r="J26" s="263"/>
      <c r="K26" s="264"/>
      <c r="L26" s="265"/>
      <c r="M26" s="96"/>
    </row>
    <row r="27" spans="2:13" ht="24.75" customHeight="1" hidden="1">
      <c r="B27" s="114"/>
      <c r="C27" s="90"/>
      <c r="D27" s="127"/>
      <c r="E27" s="262"/>
      <c r="F27" s="263"/>
      <c r="G27" s="264"/>
      <c r="H27" s="263"/>
      <c r="I27" s="264"/>
      <c r="J27" s="263"/>
      <c r="K27" s="264"/>
      <c r="L27" s="265"/>
      <c r="M27" s="96"/>
    </row>
    <row r="28" spans="2:13" ht="24.75" customHeight="1" hidden="1">
      <c r="B28" s="114"/>
      <c r="C28" s="90"/>
      <c r="D28" s="127"/>
      <c r="E28" s="262"/>
      <c r="F28" s="263"/>
      <c r="G28" s="264"/>
      <c r="H28" s="263"/>
      <c r="I28" s="264"/>
      <c r="J28" s="263"/>
      <c r="K28" s="264"/>
      <c r="L28" s="265"/>
      <c r="M28" s="96"/>
    </row>
    <row r="29" spans="2:13" ht="24.75" customHeight="1" hidden="1">
      <c r="B29" s="114" t="s">
        <v>109</v>
      </c>
      <c r="C29" s="90">
        <f>C18</f>
        <v>9</v>
      </c>
      <c r="D29" s="127">
        <f>D18</f>
        <v>1</v>
      </c>
      <c r="E29" s="262">
        <f>G18</f>
        <v>1.4347800000000002</v>
      </c>
      <c r="F29" s="263"/>
      <c r="G29" s="264">
        <f>H18</f>
        <v>0.2205</v>
      </c>
      <c r="H29" s="263"/>
      <c r="I29" s="264">
        <f>I18</f>
        <v>2.08791</v>
      </c>
      <c r="J29" s="263"/>
      <c r="K29" s="264">
        <f>J18</f>
        <v>0.0029700000000000004</v>
      </c>
      <c r="L29" s="265"/>
      <c r="M29" s="96">
        <f>K18</f>
        <v>0.03771</v>
      </c>
    </row>
    <row r="30" spans="2:13" ht="12.75" customHeight="1" hidden="1">
      <c r="B30" s="294" t="s">
        <v>54</v>
      </c>
      <c r="C30" s="269">
        <f>C17</f>
        <v>5</v>
      </c>
      <c r="D30" s="292">
        <f>D17</f>
        <v>1</v>
      </c>
      <c r="E30" s="289">
        <f>G17</f>
        <v>0.7971</v>
      </c>
      <c r="F30" s="290"/>
      <c r="G30" s="291">
        <f>H17</f>
        <v>0.1225</v>
      </c>
      <c r="H30" s="268"/>
      <c r="I30" s="291">
        <f>+I17</f>
        <v>1.15995</v>
      </c>
      <c r="J30" s="268"/>
      <c r="K30" s="291">
        <f>J17</f>
        <v>0.0016500000000000002</v>
      </c>
      <c r="L30" s="291"/>
      <c r="M30" s="288">
        <f>K17</f>
        <v>0.02095</v>
      </c>
    </row>
    <row r="31" spans="2:13" ht="15.75" customHeight="1" hidden="1">
      <c r="B31" s="295"/>
      <c r="C31" s="287"/>
      <c r="D31" s="293"/>
      <c r="E31" s="287"/>
      <c r="F31" s="290"/>
      <c r="G31" s="268"/>
      <c r="H31" s="268"/>
      <c r="I31" s="268"/>
      <c r="J31" s="268"/>
      <c r="K31" s="291"/>
      <c r="L31" s="291"/>
      <c r="M31" s="288"/>
    </row>
    <row r="32" spans="2:13" ht="27.75" customHeight="1" hidden="1" thickBot="1">
      <c r="B32" s="139" t="s">
        <v>55</v>
      </c>
      <c r="C32" s="93" t="e">
        <f>C19+#REF!</f>
        <v>#REF!</v>
      </c>
      <c r="D32" s="123" t="e">
        <f>+#REF!+D19</f>
        <v>#REF!</v>
      </c>
      <c r="E32" s="286" t="e">
        <f>+#REF!+G19</f>
        <v>#REF!</v>
      </c>
      <c r="F32" s="273"/>
      <c r="G32" s="285" t="e">
        <f>#REF!+#REF!</f>
        <v>#REF!</v>
      </c>
      <c r="H32" s="273"/>
      <c r="I32" s="285" t="e">
        <f>#REF!+I19</f>
        <v>#REF!</v>
      </c>
      <c r="J32" s="273"/>
      <c r="K32" s="285" t="e">
        <f>#REF!+J19</f>
        <v>#REF!</v>
      </c>
      <c r="L32" s="285"/>
      <c r="M32" s="86" t="e">
        <f>#REF!+K19</f>
        <v>#REF!</v>
      </c>
    </row>
    <row r="33" spans="2:13" ht="14.25" customHeight="1" hidden="1" thickBot="1">
      <c r="B33" s="1" t="s">
        <v>124</v>
      </c>
      <c r="C33" s="1"/>
      <c r="D33" s="2"/>
      <c r="E33" s="270" t="e">
        <f>SUM(E23:F32)</f>
        <v>#REF!</v>
      </c>
      <c r="F33" s="271"/>
      <c r="G33" s="270" t="e">
        <f>SUM(G23:H32)</f>
        <v>#REF!</v>
      </c>
      <c r="H33" s="271"/>
      <c r="I33" s="270" t="e">
        <f>SUM(I23:J32)</f>
        <v>#REF!</v>
      </c>
      <c r="J33" s="271"/>
      <c r="K33" s="270" t="e">
        <f>SUM(K23:L32)</f>
        <v>#REF!</v>
      </c>
      <c r="L33" s="271"/>
      <c r="M33" s="60" t="e">
        <f>SUM(M23:M32)</f>
        <v>#REF!</v>
      </c>
    </row>
    <row r="35" ht="12.75">
      <c r="B35" s="141" t="s">
        <v>215</v>
      </c>
    </row>
    <row r="36" ht="12.75">
      <c r="B36" s="10"/>
    </row>
    <row r="37" spans="2:13" ht="12.75">
      <c r="B37" t="s">
        <v>161</v>
      </c>
      <c r="M37" s="53"/>
    </row>
  </sheetData>
  <sheetProtection/>
  <mergeCells count="93">
    <mergeCell ref="G22:H22"/>
    <mergeCell ref="K27:L27"/>
    <mergeCell ref="E28:F28"/>
    <mergeCell ref="G28:H28"/>
    <mergeCell ref="I28:J28"/>
    <mergeCell ref="K28:L28"/>
    <mergeCell ref="E27:F27"/>
    <mergeCell ref="G27:H27"/>
    <mergeCell ref="I27:J27"/>
    <mergeCell ref="K26:L26"/>
    <mergeCell ref="E25:F25"/>
    <mergeCell ref="G25:H25"/>
    <mergeCell ref="I25:J25"/>
    <mergeCell ref="K25:L25"/>
    <mergeCell ref="E26:F26"/>
    <mergeCell ref="G26:H26"/>
    <mergeCell ref="I26:J26"/>
    <mergeCell ref="E24:F24"/>
    <mergeCell ref="G24:H24"/>
    <mergeCell ref="I24:J24"/>
    <mergeCell ref="K24:L24"/>
    <mergeCell ref="G23:H23"/>
    <mergeCell ref="I23:J23"/>
    <mergeCell ref="C9:D9"/>
    <mergeCell ref="E9:F9"/>
    <mergeCell ref="G9:H9"/>
    <mergeCell ref="I9:J9"/>
    <mergeCell ref="G3:H3"/>
    <mergeCell ref="G4:H4"/>
    <mergeCell ref="I4:J4"/>
    <mergeCell ref="I3:J3"/>
    <mergeCell ref="C5:D5"/>
    <mergeCell ref="E5:F5"/>
    <mergeCell ref="G5:H5"/>
    <mergeCell ref="I5:J5"/>
    <mergeCell ref="C7:D7"/>
    <mergeCell ref="E7:F7"/>
    <mergeCell ref="G7:H7"/>
    <mergeCell ref="I7:J7"/>
    <mergeCell ref="K2:L2"/>
    <mergeCell ref="K5:L5"/>
    <mergeCell ref="K6:L6"/>
    <mergeCell ref="K7:L7"/>
    <mergeCell ref="C3:D3"/>
    <mergeCell ref="E2:F2"/>
    <mergeCell ref="E3:F3"/>
    <mergeCell ref="C2:D2"/>
    <mergeCell ref="G2:H2"/>
    <mergeCell ref="I2:J2"/>
    <mergeCell ref="C6:D6"/>
    <mergeCell ref="E6:F6"/>
    <mergeCell ref="G6:H6"/>
    <mergeCell ref="I6:J6"/>
    <mergeCell ref="K33:L33"/>
    <mergeCell ref="K32:L32"/>
    <mergeCell ref="E32:F32"/>
    <mergeCell ref="G32:H32"/>
    <mergeCell ref="I32:J32"/>
    <mergeCell ref="E33:F33"/>
    <mergeCell ref="G33:H33"/>
    <mergeCell ref="I33:J33"/>
    <mergeCell ref="I22:J22"/>
    <mergeCell ref="K3:L3"/>
    <mergeCell ref="M30:M31"/>
    <mergeCell ref="E30:F31"/>
    <mergeCell ref="G30:H31"/>
    <mergeCell ref="I30:J31"/>
    <mergeCell ref="K30:L31"/>
    <mergeCell ref="E4:F4"/>
    <mergeCell ref="K22:L22"/>
    <mergeCell ref="C11:F11"/>
    <mergeCell ref="G11:K11"/>
    <mergeCell ref="C8:D8"/>
    <mergeCell ref="E8:F8"/>
    <mergeCell ref="G8:H8"/>
    <mergeCell ref="I8:J8"/>
    <mergeCell ref="K23:L23"/>
    <mergeCell ref="A15:A17"/>
    <mergeCell ref="B30:B31"/>
    <mergeCell ref="B1:L1"/>
    <mergeCell ref="E29:F29"/>
    <mergeCell ref="G29:H29"/>
    <mergeCell ref="I29:J29"/>
    <mergeCell ref="C22:D22"/>
    <mergeCell ref="E22:F22"/>
    <mergeCell ref="E23:F23"/>
    <mergeCell ref="C4:D4"/>
    <mergeCell ref="C30:C31"/>
    <mergeCell ref="D30:D31"/>
    <mergeCell ref="K29:L29"/>
    <mergeCell ref="K4:L4"/>
    <mergeCell ref="K9:L9"/>
    <mergeCell ref="K8:L8"/>
  </mergeCells>
  <printOptions horizontalCentered="1"/>
  <pageMargins left="0.75" right="0.75" top="1.3" bottom="0.5" header="0.75" footer="0.5"/>
  <pageSetup firstPageNumber="3" useFirstPageNumber="1" fitToHeight="1" fitToWidth="1" horizontalDpi="600" verticalDpi="600" orientation="landscape" scale="86" r:id="rId1"/>
  <headerFooter alignWithMargins="0">
    <oddHeader>&amp;C&amp;"Arial,Bold"&amp;14Table C-10
On-site/Off-site Construction Vehicle Emissions - January 2008&amp;12
</oddHeader>
    <oddFooter>&amp;L&amp;8M:\MC\2393 BP\EIR\&amp;F:&amp;A&amp;R&amp;8&amp;D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N37"/>
  <sheetViews>
    <sheetView zoomScale="80" zoomScaleNormal="80" zoomScalePageLayoutView="0" workbookViewId="0" topLeftCell="A4">
      <selection activeCell="B35" sqref="B35"/>
    </sheetView>
  </sheetViews>
  <sheetFormatPr defaultColWidth="9.140625" defaultRowHeight="12.75"/>
  <cols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17.8515625" style="0" customWidth="1"/>
  </cols>
  <sheetData>
    <row r="1" spans="2:12" s="16" customFormat="1" ht="13.5" thickBot="1">
      <c r="B1" s="296" t="s">
        <v>162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2:12" ht="30" customHeight="1" thickBot="1">
      <c r="B2" s="128" t="s">
        <v>49</v>
      </c>
      <c r="C2" s="306" t="s">
        <v>96</v>
      </c>
      <c r="D2" s="307"/>
      <c r="E2" s="306" t="s">
        <v>97</v>
      </c>
      <c r="F2" s="308"/>
      <c r="G2" s="306" t="s">
        <v>98</v>
      </c>
      <c r="H2" s="307"/>
      <c r="I2" s="306" t="s">
        <v>99</v>
      </c>
      <c r="J2" s="308"/>
      <c r="K2" s="306" t="s">
        <v>100</v>
      </c>
      <c r="L2" s="307"/>
    </row>
    <row r="3" spans="2:12" ht="26.25">
      <c r="B3" s="179" t="s">
        <v>50</v>
      </c>
      <c r="C3" s="281">
        <v>0.011798</v>
      </c>
      <c r="D3" s="282"/>
      <c r="E3" s="282">
        <v>0.001277</v>
      </c>
      <c r="F3" s="282"/>
      <c r="G3" s="282">
        <v>0.001245</v>
      </c>
      <c r="H3" s="282"/>
      <c r="I3" s="282">
        <v>9E-06</v>
      </c>
      <c r="J3" s="282"/>
      <c r="K3" s="282">
        <v>8E-05</v>
      </c>
      <c r="L3" s="284"/>
    </row>
    <row r="4" spans="2:12" ht="12.75">
      <c r="B4" s="114" t="s">
        <v>156</v>
      </c>
      <c r="C4" s="299">
        <v>0.011798</v>
      </c>
      <c r="D4" s="300"/>
      <c r="E4" s="300">
        <v>0.001277</v>
      </c>
      <c r="F4" s="300"/>
      <c r="G4" s="300">
        <v>0.001245</v>
      </c>
      <c r="H4" s="300"/>
      <c r="I4" s="300">
        <v>9E-06</v>
      </c>
      <c r="J4" s="300"/>
      <c r="K4" s="300">
        <v>8E-05</v>
      </c>
      <c r="L4" s="302"/>
    </row>
    <row r="5" spans="2:12" ht="12.75">
      <c r="B5" s="114" t="s">
        <v>107</v>
      </c>
      <c r="C5" s="269">
        <v>0.015942</v>
      </c>
      <c r="D5" s="268"/>
      <c r="E5" s="268">
        <v>0.00245</v>
      </c>
      <c r="F5" s="268"/>
      <c r="G5" s="268">
        <v>0.023199</v>
      </c>
      <c r="H5" s="268"/>
      <c r="I5" s="268">
        <v>3.3E-05</v>
      </c>
      <c r="J5" s="268"/>
      <c r="K5" s="292">
        <v>0.000419</v>
      </c>
      <c r="L5" s="301"/>
    </row>
    <row r="6" spans="2:12" ht="12.75">
      <c r="B6" s="114" t="s">
        <v>95</v>
      </c>
      <c r="C6" s="269">
        <v>0.015942</v>
      </c>
      <c r="D6" s="268"/>
      <c r="E6" s="268">
        <v>0.00245</v>
      </c>
      <c r="F6" s="268"/>
      <c r="G6" s="268">
        <v>0.023199</v>
      </c>
      <c r="H6" s="268"/>
      <c r="I6" s="268">
        <v>3.3E-05</v>
      </c>
      <c r="J6" s="268"/>
      <c r="K6" s="292">
        <v>0.000419</v>
      </c>
      <c r="L6" s="301"/>
    </row>
    <row r="7" spans="2:12" ht="12.75">
      <c r="B7" s="114" t="s">
        <v>155</v>
      </c>
      <c r="C7" s="269">
        <v>0.015942</v>
      </c>
      <c r="D7" s="268"/>
      <c r="E7" s="268">
        <v>0.00245</v>
      </c>
      <c r="F7" s="268"/>
      <c r="G7" s="268">
        <v>0.023199</v>
      </c>
      <c r="H7" s="268"/>
      <c r="I7" s="268">
        <v>3.3E-05</v>
      </c>
      <c r="J7" s="268"/>
      <c r="K7" s="292">
        <v>0.000419</v>
      </c>
      <c r="L7" s="301"/>
    </row>
    <row r="8" spans="2:12" ht="12.75">
      <c r="B8" s="114" t="s">
        <v>154</v>
      </c>
      <c r="C8" s="269">
        <v>0.015942</v>
      </c>
      <c r="D8" s="268"/>
      <c r="E8" s="268">
        <v>0.00245</v>
      </c>
      <c r="F8" s="268"/>
      <c r="G8" s="268">
        <v>0.023199</v>
      </c>
      <c r="H8" s="268"/>
      <c r="I8" s="268">
        <v>3.3E-05</v>
      </c>
      <c r="J8" s="268"/>
      <c r="K8" s="292">
        <v>0.000419</v>
      </c>
      <c r="L8" s="301"/>
    </row>
    <row r="9" spans="2:12" ht="13.5" thickBot="1">
      <c r="B9" s="126" t="s">
        <v>129</v>
      </c>
      <c r="C9" s="272">
        <v>0.015942</v>
      </c>
      <c r="D9" s="273"/>
      <c r="E9" s="273">
        <v>0.00245</v>
      </c>
      <c r="F9" s="273"/>
      <c r="G9" s="273">
        <v>0.023199</v>
      </c>
      <c r="H9" s="273"/>
      <c r="I9" s="273">
        <v>3.3E-05</v>
      </c>
      <c r="J9" s="273"/>
      <c r="K9" s="303">
        <v>0.000419</v>
      </c>
      <c r="L9" s="304"/>
    </row>
    <row r="10" ht="13.5" thickBot="1"/>
    <row r="11" spans="2:13" ht="13.5" thickBot="1">
      <c r="B11" s="59"/>
      <c r="C11" s="274" t="s">
        <v>51</v>
      </c>
      <c r="D11" s="275"/>
      <c r="E11" s="275"/>
      <c r="F11" s="276"/>
      <c r="G11" s="274" t="s">
        <v>52</v>
      </c>
      <c r="H11" s="275"/>
      <c r="I11" s="275"/>
      <c r="J11" s="275"/>
      <c r="K11" s="276"/>
      <c r="L11" s="22"/>
      <c r="M11" s="22"/>
    </row>
    <row r="12" spans="2:14" ht="39.75" thickBot="1">
      <c r="B12" s="44" t="s">
        <v>53</v>
      </c>
      <c r="C12" s="118" t="s">
        <v>160</v>
      </c>
      <c r="D12" s="124" t="s">
        <v>159</v>
      </c>
      <c r="E12" s="186" t="s">
        <v>157</v>
      </c>
      <c r="F12" s="117" t="s">
        <v>158</v>
      </c>
      <c r="G12" s="95" t="s">
        <v>101</v>
      </c>
      <c r="H12" s="14" t="s">
        <v>102</v>
      </c>
      <c r="I12" s="95" t="s">
        <v>103</v>
      </c>
      <c r="J12" s="95" t="s">
        <v>104</v>
      </c>
      <c r="K12" s="14" t="s">
        <v>105</v>
      </c>
      <c r="L12" s="42"/>
      <c r="M12" s="119"/>
      <c r="N12" s="119"/>
    </row>
    <row r="13" spans="2:14" ht="26.25">
      <c r="B13" s="179" t="s">
        <v>50</v>
      </c>
      <c r="C13" s="184">
        <v>826</v>
      </c>
      <c r="D13" s="185">
        <v>2</v>
      </c>
      <c r="E13" s="187">
        <v>16.2</v>
      </c>
      <c r="F13" s="202">
        <f aca="true" t="shared" si="0" ref="F13:F19">E13*D13*C13</f>
        <v>26762.399999999998</v>
      </c>
      <c r="G13" s="156">
        <f aca="true" t="shared" si="1" ref="G13:G19">F13*C3</f>
        <v>315.74279519999993</v>
      </c>
      <c r="H13" s="152">
        <f aca="true" t="shared" si="2" ref="H13:H19">F13*E3</f>
        <v>34.175584799999996</v>
      </c>
      <c r="I13" s="182">
        <f aca="true" t="shared" si="3" ref="I13:I19">F13*G3</f>
        <v>33.319188</v>
      </c>
      <c r="J13" s="182">
        <f aca="true" t="shared" si="4" ref="J13:J19">F13*I3</f>
        <v>0.24086159999999998</v>
      </c>
      <c r="K13" s="183">
        <f aca="true" t="shared" si="5" ref="K13:K19">F13*K3</f>
        <v>2.140992</v>
      </c>
      <c r="L13" s="180"/>
      <c r="M13" s="181"/>
      <c r="N13" s="181"/>
    </row>
    <row r="14" spans="2:14" ht="12.75">
      <c r="B14" s="114" t="s">
        <v>156</v>
      </c>
      <c r="C14" s="188">
        <v>34</v>
      </c>
      <c r="D14" s="143">
        <v>1</v>
      </c>
      <c r="E14" s="203">
        <v>10</v>
      </c>
      <c r="F14" s="204">
        <f t="shared" si="0"/>
        <v>340</v>
      </c>
      <c r="G14" s="94">
        <f t="shared" si="1"/>
        <v>4.0113199999999996</v>
      </c>
      <c r="H14" s="129">
        <f t="shared" si="2"/>
        <v>0.43417999999999995</v>
      </c>
      <c r="I14" s="18">
        <f t="shared" si="3"/>
        <v>0.4233</v>
      </c>
      <c r="J14" s="18">
        <f t="shared" si="4"/>
        <v>0.0030600000000000002</v>
      </c>
      <c r="K14" s="96">
        <f t="shared" si="5"/>
        <v>0.027200000000000002</v>
      </c>
      <c r="L14" s="180"/>
      <c r="M14" s="181"/>
      <c r="N14" s="181"/>
    </row>
    <row r="15" spans="1:14" ht="12.75" customHeight="1">
      <c r="A15" s="305" t="s">
        <v>200</v>
      </c>
      <c r="B15" s="114" t="s">
        <v>107</v>
      </c>
      <c r="C15" s="188">
        <v>9</v>
      </c>
      <c r="D15" s="143">
        <v>1</v>
      </c>
      <c r="E15" s="203">
        <v>4</v>
      </c>
      <c r="F15" s="204">
        <f t="shared" si="0"/>
        <v>36</v>
      </c>
      <c r="G15" s="94">
        <f t="shared" si="1"/>
        <v>0.5739120000000001</v>
      </c>
      <c r="H15" s="129">
        <f t="shared" si="2"/>
        <v>0.0882</v>
      </c>
      <c r="I15" s="18">
        <f t="shared" si="3"/>
        <v>0.835164</v>
      </c>
      <c r="J15" s="18">
        <f t="shared" si="4"/>
        <v>0.001188</v>
      </c>
      <c r="K15" s="96">
        <f t="shared" si="5"/>
        <v>0.015084</v>
      </c>
      <c r="L15" s="180"/>
      <c r="M15" s="181"/>
      <c r="N15" s="181"/>
    </row>
    <row r="16" spans="1:14" s="91" customFormat="1" ht="12.75">
      <c r="A16" s="305"/>
      <c r="B16" s="114" t="s">
        <v>95</v>
      </c>
      <c r="C16" s="188">
        <v>6</v>
      </c>
      <c r="D16" s="143">
        <v>1</v>
      </c>
      <c r="E16" s="203">
        <v>10</v>
      </c>
      <c r="F16" s="204">
        <f t="shared" si="0"/>
        <v>60</v>
      </c>
      <c r="G16" s="94">
        <f t="shared" si="1"/>
        <v>0.95652</v>
      </c>
      <c r="H16" s="129">
        <f t="shared" si="2"/>
        <v>0.147</v>
      </c>
      <c r="I16" s="18">
        <f t="shared" si="3"/>
        <v>1.39194</v>
      </c>
      <c r="J16" s="18">
        <f t="shared" si="4"/>
        <v>0.00198</v>
      </c>
      <c r="K16" s="96">
        <f t="shared" si="5"/>
        <v>0.02514</v>
      </c>
      <c r="L16" s="115"/>
      <c r="M16" s="125"/>
      <c r="N16" s="125"/>
    </row>
    <row r="17" spans="1:14" s="91" customFormat="1" ht="12.75" customHeight="1">
      <c r="A17" s="305"/>
      <c r="B17" s="114" t="s">
        <v>155</v>
      </c>
      <c r="C17" s="188">
        <v>5</v>
      </c>
      <c r="D17" s="143">
        <v>1</v>
      </c>
      <c r="E17" s="203">
        <v>10</v>
      </c>
      <c r="F17" s="204">
        <f t="shared" si="0"/>
        <v>50</v>
      </c>
      <c r="G17" s="94">
        <f t="shared" si="1"/>
        <v>0.7971</v>
      </c>
      <c r="H17" s="129">
        <f t="shared" si="2"/>
        <v>0.1225</v>
      </c>
      <c r="I17" s="18">
        <f t="shared" si="3"/>
        <v>1.15995</v>
      </c>
      <c r="J17" s="18">
        <f t="shared" si="4"/>
        <v>0.0016500000000000002</v>
      </c>
      <c r="K17" s="96">
        <f t="shared" si="5"/>
        <v>0.02095</v>
      </c>
      <c r="L17" s="115"/>
      <c r="M17" s="125"/>
      <c r="N17" s="125"/>
    </row>
    <row r="18" spans="2:14" s="91" customFormat="1" ht="12.75">
      <c r="B18" s="114" t="s">
        <v>154</v>
      </c>
      <c r="C18" s="188">
        <v>9</v>
      </c>
      <c r="D18" s="143">
        <v>1</v>
      </c>
      <c r="E18" s="203">
        <v>10</v>
      </c>
      <c r="F18" s="204">
        <f t="shared" si="0"/>
        <v>90</v>
      </c>
      <c r="G18" s="94">
        <f t="shared" si="1"/>
        <v>1.4347800000000002</v>
      </c>
      <c r="H18" s="129">
        <f t="shared" si="2"/>
        <v>0.2205</v>
      </c>
      <c r="I18" s="18">
        <f t="shared" si="3"/>
        <v>2.08791</v>
      </c>
      <c r="J18" s="18">
        <f t="shared" si="4"/>
        <v>0.0029700000000000004</v>
      </c>
      <c r="K18" s="92">
        <f t="shared" si="5"/>
        <v>0.03771</v>
      </c>
      <c r="L18" s="115"/>
      <c r="M18" s="125"/>
      <c r="N18" s="125"/>
    </row>
    <row r="19" spans="2:14" ht="13.5" thickBot="1">
      <c r="B19" s="193" t="s">
        <v>129</v>
      </c>
      <c r="C19" s="194">
        <v>71</v>
      </c>
      <c r="D19" s="195">
        <v>1</v>
      </c>
      <c r="E19" s="196">
        <v>30</v>
      </c>
      <c r="F19" s="197">
        <f t="shared" si="0"/>
        <v>2130</v>
      </c>
      <c r="G19" s="198">
        <f t="shared" si="1"/>
        <v>33.95646</v>
      </c>
      <c r="H19" s="199">
        <f t="shared" si="2"/>
        <v>5.2185</v>
      </c>
      <c r="I19" s="200">
        <f t="shared" si="3"/>
        <v>49.41387</v>
      </c>
      <c r="J19" s="200">
        <f t="shared" si="4"/>
        <v>0.07029</v>
      </c>
      <c r="K19" s="201">
        <f t="shared" si="5"/>
        <v>0.89247</v>
      </c>
      <c r="L19" s="115"/>
      <c r="M19" s="125"/>
      <c r="N19" s="125"/>
    </row>
    <row r="20" spans="2:14" ht="14.25" thickBot="1" thickTop="1">
      <c r="B20" s="189" t="s">
        <v>128</v>
      </c>
      <c r="C20" s="190"/>
      <c r="D20" s="190"/>
      <c r="E20" s="190"/>
      <c r="F20" s="190"/>
      <c r="G20" s="191">
        <f>SUM(G13:G19)</f>
        <v>357.47288719999995</v>
      </c>
      <c r="H20" s="191">
        <f>SUM(H13:H19)</f>
        <v>40.406464799999995</v>
      </c>
      <c r="I20" s="191">
        <f>SUM(I13:I19)</f>
        <v>88.631322</v>
      </c>
      <c r="J20" s="191">
        <f>SUM(J13:J19)</f>
        <v>0.3219996</v>
      </c>
      <c r="K20" s="192">
        <f>SUM(K13:K19)</f>
        <v>3.1595459999999997</v>
      </c>
      <c r="L20" s="125"/>
      <c r="M20" s="125"/>
      <c r="N20" s="125"/>
    </row>
    <row r="21" spans="2:13" ht="13.5" customHeight="1" hidden="1" thickBot="1">
      <c r="B21" s="45"/>
      <c r="C21" s="71"/>
      <c r="D21" s="71"/>
      <c r="E21" s="71"/>
      <c r="F21" s="116"/>
      <c r="G21" s="116"/>
      <c r="H21" s="116"/>
      <c r="I21" s="116"/>
      <c r="J21" s="116"/>
      <c r="K21" s="116"/>
      <c r="L21" s="116"/>
      <c r="M21" s="116"/>
    </row>
    <row r="22" spans="2:13" ht="13.5" customHeight="1" hidden="1" thickBot="1">
      <c r="B22" s="39" t="s">
        <v>53</v>
      </c>
      <c r="C22" s="271" t="s">
        <v>51</v>
      </c>
      <c r="D22" s="271"/>
      <c r="E22" s="270" t="s">
        <v>0</v>
      </c>
      <c r="F22" s="271"/>
      <c r="G22" s="270" t="s">
        <v>1</v>
      </c>
      <c r="H22" s="271"/>
      <c r="I22" s="270" t="s">
        <v>2</v>
      </c>
      <c r="J22" s="270"/>
      <c r="K22" s="270" t="s">
        <v>6</v>
      </c>
      <c r="L22" s="270"/>
      <c r="M22" s="60" t="s">
        <v>3</v>
      </c>
    </row>
    <row r="23" spans="2:13" ht="41.25" customHeight="1" hidden="1">
      <c r="B23" s="57" t="s">
        <v>106</v>
      </c>
      <c r="C23" s="178">
        <f>C13+C16</f>
        <v>832</v>
      </c>
      <c r="D23" s="155">
        <f>D13+D16</f>
        <v>3</v>
      </c>
      <c r="E23" s="298">
        <f>G13+G16</f>
        <v>316.69931519999994</v>
      </c>
      <c r="F23" s="267"/>
      <c r="G23" s="266">
        <f>H13+H16</f>
        <v>34.322584799999994</v>
      </c>
      <c r="H23" s="267"/>
      <c r="I23" s="266">
        <f>I13+I16</f>
        <v>34.711127999999995</v>
      </c>
      <c r="J23" s="267"/>
      <c r="K23" s="266">
        <f>J13+J16</f>
        <v>0.2428416</v>
      </c>
      <c r="L23" s="267"/>
      <c r="M23" s="183">
        <f>K13+K16</f>
        <v>2.1661319999999997</v>
      </c>
    </row>
    <row r="24" spans="2:13" ht="24.75" customHeight="1" hidden="1">
      <c r="B24" s="114"/>
      <c r="C24" s="90"/>
      <c r="D24" s="127"/>
      <c r="E24" s="262"/>
      <c r="F24" s="263"/>
      <c r="G24" s="264"/>
      <c r="H24" s="263"/>
      <c r="I24" s="264"/>
      <c r="J24" s="263"/>
      <c r="K24" s="264"/>
      <c r="L24" s="265"/>
      <c r="M24" s="96"/>
    </row>
    <row r="25" spans="2:13" ht="24.75" customHeight="1" hidden="1">
      <c r="B25" s="114"/>
      <c r="C25" s="90"/>
      <c r="D25" s="127"/>
      <c r="E25" s="262"/>
      <c r="F25" s="263"/>
      <c r="G25" s="264"/>
      <c r="H25" s="263"/>
      <c r="I25" s="264"/>
      <c r="J25" s="263"/>
      <c r="K25" s="264"/>
      <c r="L25" s="265"/>
      <c r="M25" s="96"/>
    </row>
    <row r="26" spans="2:13" ht="24.75" customHeight="1" hidden="1">
      <c r="B26" s="114"/>
      <c r="C26" s="90"/>
      <c r="D26" s="127"/>
      <c r="E26" s="262"/>
      <c r="F26" s="263"/>
      <c r="G26" s="264"/>
      <c r="H26" s="263"/>
      <c r="I26" s="264"/>
      <c r="J26" s="263"/>
      <c r="K26" s="264"/>
      <c r="L26" s="265"/>
      <c r="M26" s="96"/>
    </row>
    <row r="27" spans="2:13" ht="24.75" customHeight="1" hidden="1">
      <c r="B27" s="114"/>
      <c r="C27" s="90"/>
      <c r="D27" s="127"/>
      <c r="E27" s="262"/>
      <c r="F27" s="263"/>
      <c r="G27" s="264"/>
      <c r="H27" s="263"/>
      <c r="I27" s="264"/>
      <c r="J27" s="263"/>
      <c r="K27" s="264"/>
      <c r="L27" s="265"/>
      <c r="M27" s="96"/>
    </row>
    <row r="28" spans="2:13" ht="24.75" customHeight="1" hidden="1">
      <c r="B28" s="114"/>
      <c r="C28" s="90"/>
      <c r="D28" s="127"/>
      <c r="E28" s="262"/>
      <c r="F28" s="263"/>
      <c r="G28" s="264"/>
      <c r="H28" s="263"/>
      <c r="I28" s="264"/>
      <c r="J28" s="263"/>
      <c r="K28" s="264"/>
      <c r="L28" s="265"/>
      <c r="M28" s="96"/>
    </row>
    <row r="29" spans="2:13" ht="24.75" customHeight="1" hidden="1">
      <c r="B29" s="114" t="s">
        <v>109</v>
      </c>
      <c r="C29" s="90">
        <f>C18</f>
        <v>9</v>
      </c>
      <c r="D29" s="127">
        <f>D18</f>
        <v>1</v>
      </c>
      <c r="E29" s="262">
        <f>G18</f>
        <v>1.4347800000000002</v>
      </c>
      <c r="F29" s="263"/>
      <c r="G29" s="264">
        <f>H18</f>
        <v>0.2205</v>
      </c>
      <c r="H29" s="263"/>
      <c r="I29" s="264">
        <f>I18</f>
        <v>2.08791</v>
      </c>
      <c r="J29" s="263"/>
      <c r="K29" s="264">
        <f>J18</f>
        <v>0.0029700000000000004</v>
      </c>
      <c r="L29" s="265"/>
      <c r="M29" s="96">
        <f>K18</f>
        <v>0.03771</v>
      </c>
    </row>
    <row r="30" spans="2:13" ht="12.75" customHeight="1" hidden="1">
      <c r="B30" s="294" t="s">
        <v>54</v>
      </c>
      <c r="C30" s="269">
        <f>C17</f>
        <v>5</v>
      </c>
      <c r="D30" s="292">
        <f>D17</f>
        <v>1</v>
      </c>
      <c r="E30" s="289">
        <f>G17</f>
        <v>0.7971</v>
      </c>
      <c r="F30" s="290"/>
      <c r="G30" s="291">
        <f>H17</f>
        <v>0.1225</v>
      </c>
      <c r="H30" s="268"/>
      <c r="I30" s="291">
        <f>+I17</f>
        <v>1.15995</v>
      </c>
      <c r="J30" s="268"/>
      <c r="K30" s="291">
        <f>J17</f>
        <v>0.0016500000000000002</v>
      </c>
      <c r="L30" s="291"/>
      <c r="M30" s="288">
        <f>K17</f>
        <v>0.02095</v>
      </c>
    </row>
    <row r="31" spans="2:13" ht="15.75" customHeight="1" hidden="1">
      <c r="B31" s="295"/>
      <c r="C31" s="287"/>
      <c r="D31" s="293"/>
      <c r="E31" s="287"/>
      <c r="F31" s="290"/>
      <c r="G31" s="268"/>
      <c r="H31" s="268"/>
      <c r="I31" s="268"/>
      <c r="J31" s="268"/>
      <c r="K31" s="291"/>
      <c r="L31" s="291"/>
      <c r="M31" s="288"/>
    </row>
    <row r="32" spans="2:13" ht="27.75" customHeight="1" hidden="1" thickBot="1">
      <c r="B32" s="139" t="s">
        <v>55</v>
      </c>
      <c r="C32" s="93" t="e">
        <f>C19+#REF!</f>
        <v>#REF!</v>
      </c>
      <c r="D32" s="123" t="e">
        <f>+#REF!+D19</f>
        <v>#REF!</v>
      </c>
      <c r="E32" s="286" t="e">
        <f>+#REF!+G19</f>
        <v>#REF!</v>
      </c>
      <c r="F32" s="273"/>
      <c r="G32" s="285" t="e">
        <f>#REF!+#REF!</f>
        <v>#REF!</v>
      </c>
      <c r="H32" s="273"/>
      <c r="I32" s="285" t="e">
        <f>#REF!+I19</f>
        <v>#REF!</v>
      </c>
      <c r="J32" s="273"/>
      <c r="K32" s="285" t="e">
        <f>#REF!+J19</f>
        <v>#REF!</v>
      </c>
      <c r="L32" s="285"/>
      <c r="M32" s="86" t="e">
        <f>#REF!+K19</f>
        <v>#REF!</v>
      </c>
    </row>
    <row r="33" spans="2:13" ht="14.25" customHeight="1" hidden="1" thickBot="1">
      <c r="B33" s="1" t="s">
        <v>124</v>
      </c>
      <c r="C33" s="1"/>
      <c r="D33" s="2"/>
      <c r="E33" s="270" t="e">
        <f>SUM(E23:F32)</f>
        <v>#REF!</v>
      </c>
      <c r="F33" s="271"/>
      <c r="G33" s="270" t="e">
        <f>SUM(G23:H32)</f>
        <v>#REF!</v>
      </c>
      <c r="H33" s="271"/>
      <c r="I33" s="270" t="e">
        <f>SUM(I23:J32)</f>
        <v>#REF!</v>
      </c>
      <c r="J33" s="271"/>
      <c r="K33" s="270" t="e">
        <f>SUM(K23:L32)</f>
        <v>#REF!</v>
      </c>
      <c r="L33" s="271"/>
      <c r="M33" s="60" t="e">
        <f>SUM(M23:M32)</f>
        <v>#REF!</v>
      </c>
    </row>
    <row r="35" ht="12.75">
      <c r="B35" s="141" t="s">
        <v>215</v>
      </c>
    </row>
    <row r="36" ht="12.75">
      <c r="B36" s="10"/>
    </row>
    <row r="37" spans="2:13" ht="12.75">
      <c r="B37" t="s">
        <v>161</v>
      </c>
      <c r="M37" s="53"/>
    </row>
  </sheetData>
  <sheetProtection/>
  <mergeCells count="93">
    <mergeCell ref="G22:H22"/>
    <mergeCell ref="K27:L27"/>
    <mergeCell ref="E28:F28"/>
    <mergeCell ref="G28:H28"/>
    <mergeCell ref="I28:J28"/>
    <mergeCell ref="K28:L28"/>
    <mergeCell ref="E27:F27"/>
    <mergeCell ref="G27:H27"/>
    <mergeCell ref="I27:J27"/>
    <mergeCell ref="K26:L26"/>
    <mergeCell ref="E25:F25"/>
    <mergeCell ref="G25:H25"/>
    <mergeCell ref="I25:J25"/>
    <mergeCell ref="K25:L25"/>
    <mergeCell ref="E26:F26"/>
    <mergeCell ref="G26:H26"/>
    <mergeCell ref="I26:J26"/>
    <mergeCell ref="E24:F24"/>
    <mergeCell ref="G24:H24"/>
    <mergeCell ref="I24:J24"/>
    <mergeCell ref="K24:L24"/>
    <mergeCell ref="G23:H23"/>
    <mergeCell ref="I23:J23"/>
    <mergeCell ref="C9:D9"/>
    <mergeCell ref="E9:F9"/>
    <mergeCell ref="G9:H9"/>
    <mergeCell ref="I9:J9"/>
    <mergeCell ref="G3:H3"/>
    <mergeCell ref="G4:H4"/>
    <mergeCell ref="I4:J4"/>
    <mergeCell ref="I3:J3"/>
    <mergeCell ref="C5:D5"/>
    <mergeCell ref="E5:F5"/>
    <mergeCell ref="G5:H5"/>
    <mergeCell ref="I5:J5"/>
    <mergeCell ref="C7:D7"/>
    <mergeCell ref="E7:F7"/>
    <mergeCell ref="G7:H7"/>
    <mergeCell ref="I7:J7"/>
    <mergeCell ref="K2:L2"/>
    <mergeCell ref="K5:L5"/>
    <mergeCell ref="K6:L6"/>
    <mergeCell ref="K7:L7"/>
    <mergeCell ref="C3:D3"/>
    <mergeCell ref="E2:F2"/>
    <mergeCell ref="E3:F3"/>
    <mergeCell ref="C2:D2"/>
    <mergeCell ref="G2:H2"/>
    <mergeCell ref="I2:J2"/>
    <mergeCell ref="C6:D6"/>
    <mergeCell ref="E6:F6"/>
    <mergeCell ref="G6:H6"/>
    <mergeCell ref="I6:J6"/>
    <mergeCell ref="K33:L33"/>
    <mergeCell ref="K32:L32"/>
    <mergeCell ref="E32:F32"/>
    <mergeCell ref="G32:H32"/>
    <mergeCell ref="I32:J32"/>
    <mergeCell ref="E33:F33"/>
    <mergeCell ref="G33:H33"/>
    <mergeCell ref="I33:J33"/>
    <mergeCell ref="I22:J22"/>
    <mergeCell ref="K3:L3"/>
    <mergeCell ref="M30:M31"/>
    <mergeCell ref="E30:F31"/>
    <mergeCell ref="G30:H31"/>
    <mergeCell ref="I30:J31"/>
    <mergeCell ref="K30:L31"/>
    <mergeCell ref="E4:F4"/>
    <mergeCell ref="K22:L22"/>
    <mergeCell ref="C11:F11"/>
    <mergeCell ref="G11:K11"/>
    <mergeCell ref="C8:D8"/>
    <mergeCell ref="E8:F8"/>
    <mergeCell ref="G8:H8"/>
    <mergeCell ref="I8:J8"/>
    <mergeCell ref="K23:L23"/>
    <mergeCell ref="A15:A17"/>
    <mergeCell ref="B30:B31"/>
    <mergeCell ref="B1:L1"/>
    <mergeCell ref="E29:F29"/>
    <mergeCell ref="G29:H29"/>
    <mergeCell ref="I29:J29"/>
    <mergeCell ref="C22:D22"/>
    <mergeCell ref="E22:F22"/>
    <mergeCell ref="E23:F23"/>
    <mergeCell ref="C4:D4"/>
    <mergeCell ref="C30:C31"/>
    <mergeCell ref="D30:D31"/>
    <mergeCell ref="K29:L29"/>
    <mergeCell ref="K4:L4"/>
    <mergeCell ref="K9:L9"/>
    <mergeCell ref="K8:L8"/>
  </mergeCells>
  <printOptions horizontalCentered="1"/>
  <pageMargins left="0.75" right="0.75" top="1.3" bottom="0.5" header="0.75" footer="0.5"/>
  <pageSetup firstPageNumber="3" useFirstPageNumber="1" fitToHeight="1" fitToWidth="1" horizontalDpi="600" verticalDpi="600" orientation="landscape" scale="86" r:id="rId1"/>
  <headerFooter alignWithMargins="0">
    <oddHeader>&amp;C&amp;"Arial,Bold"&amp;14Table C-11
On-site/Off-site Construction Vehicle Emissions - February 2008&amp;12
</oddHeader>
    <oddFooter>&amp;L&amp;8M:\MC\2393 BP\EIR\&amp;F:&amp;A&amp;R&amp;8&amp;D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12"/>
  <dimension ref="A1:O38"/>
  <sheetViews>
    <sheetView zoomScale="70" zoomScaleNormal="70" zoomScalePageLayoutView="0" workbookViewId="0" topLeftCell="A1">
      <selection activeCell="A1" sqref="A1:N2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2.28125" style="0" customWidth="1"/>
    <col min="8" max="8" width="9.851562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5" s="104" customFormat="1" ht="21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245"/>
    </row>
    <row r="2" spans="1:15" s="104" customFormat="1" ht="21">
      <c r="A2" s="321" t="s">
        <v>185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245"/>
    </row>
    <row r="3" spans="2:14" ht="15.75" thickBot="1">
      <c r="B3" s="79" t="s">
        <v>123</v>
      </c>
      <c r="C3" s="24"/>
      <c r="G3" s="24"/>
      <c r="H3" s="24"/>
      <c r="M3" s="24"/>
      <c r="N3" s="24"/>
    </row>
    <row r="4" spans="2:15" ht="12.75" customHeight="1" thickBot="1">
      <c r="B4" s="36"/>
      <c r="C4" s="25"/>
      <c r="D4" s="26"/>
      <c r="E4" s="26"/>
      <c r="F4" s="98"/>
      <c r="G4" s="25"/>
      <c r="H4" s="25"/>
      <c r="I4" s="26"/>
      <c r="J4" s="37"/>
      <c r="K4" s="319" t="s">
        <v>12</v>
      </c>
      <c r="L4" s="320"/>
      <c r="M4" s="315" t="s">
        <v>13</v>
      </c>
      <c r="N4" s="307"/>
      <c r="O4" s="54"/>
    </row>
    <row r="5" spans="2:15" ht="12.75" customHeight="1">
      <c r="B5" s="21"/>
      <c r="C5" s="27"/>
      <c r="D5" s="332" t="s">
        <v>8</v>
      </c>
      <c r="E5" s="16"/>
      <c r="F5" s="332" t="s">
        <v>9</v>
      </c>
      <c r="G5" s="27"/>
      <c r="H5" s="313" t="s">
        <v>10</v>
      </c>
      <c r="I5" s="313" t="s">
        <v>77</v>
      </c>
      <c r="J5" s="311" t="s">
        <v>11</v>
      </c>
      <c r="K5" s="329" t="s">
        <v>78</v>
      </c>
      <c r="L5" s="326" t="s">
        <v>76</v>
      </c>
      <c r="M5" s="329" t="s">
        <v>15</v>
      </c>
      <c r="N5" s="326" t="s">
        <v>76</v>
      </c>
      <c r="O5" s="309" t="s">
        <v>14</v>
      </c>
    </row>
    <row r="6" spans="2:15" ht="12.75" customHeight="1">
      <c r="B6" s="316" t="s">
        <v>16</v>
      </c>
      <c r="C6" s="30"/>
      <c r="D6" s="333"/>
      <c r="E6" s="23"/>
      <c r="F6" s="313"/>
      <c r="G6" s="30"/>
      <c r="H6" s="313"/>
      <c r="I6" s="313"/>
      <c r="J6" s="311"/>
      <c r="K6" s="330"/>
      <c r="L6" s="327"/>
      <c r="M6" s="330"/>
      <c r="N6" s="327"/>
      <c r="O6" s="309"/>
    </row>
    <row r="7" spans="2:15" ht="13.5" customHeight="1">
      <c r="B7" s="317"/>
      <c r="C7" s="30"/>
      <c r="D7" s="333"/>
      <c r="E7" s="23"/>
      <c r="F7" s="313"/>
      <c r="G7" s="30"/>
      <c r="H7" s="313"/>
      <c r="I7" s="313"/>
      <c r="J7" s="311"/>
      <c r="K7" s="330"/>
      <c r="L7" s="327"/>
      <c r="M7" s="330"/>
      <c r="N7" s="327"/>
      <c r="O7" s="309"/>
    </row>
    <row r="8" spans="2:15" ht="13.5" customHeight="1" thickBot="1">
      <c r="B8" s="318"/>
      <c r="C8" s="31"/>
      <c r="D8" s="324"/>
      <c r="E8" s="32"/>
      <c r="F8" s="314"/>
      <c r="G8" s="31"/>
      <c r="H8" s="314"/>
      <c r="I8" s="314"/>
      <c r="J8" s="312"/>
      <c r="K8" s="331"/>
      <c r="L8" s="328"/>
      <c r="M8" s="331"/>
      <c r="N8" s="328"/>
      <c r="O8" s="310"/>
    </row>
    <row r="9" spans="2:15" ht="15.75" thickBot="1">
      <c r="B9" s="33" t="s">
        <v>65</v>
      </c>
      <c r="C9" s="34"/>
      <c r="D9" s="35">
        <v>0</v>
      </c>
      <c r="E9" s="35"/>
      <c r="F9" s="35">
        <v>6</v>
      </c>
      <c r="G9" s="35"/>
      <c r="H9" s="35">
        <v>8</v>
      </c>
      <c r="I9" s="219">
        <f>0.75*(7.5^1.5)/(2^1.4)</f>
        <v>5.837288584654858</v>
      </c>
      <c r="J9" s="35">
        <v>0.5</v>
      </c>
      <c r="K9" s="100">
        <f>+D9*H9*I9*J9</f>
        <v>0</v>
      </c>
      <c r="L9" s="101">
        <f>+F9*H9*I9*J9</f>
        <v>140.0949260317166</v>
      </c>
      <c r="M9" s="102">
        <f>+D9*H9*I9</f>
        <v>0</v>
      </c>
      <c r="N9" s="103">
        <f>+F9*H9*I9</f>
        <v>280.1898520634332</v>
      </c>
      <c r="O9" s="9" t="s">
        <v>18</v>
      </c>
    </row>
    <row r="10" ht="13.5" thickBot="1"/>
    <row r="11" spans="2:15" ht="13.5" customHeight="1" thickBot="1">
      <c r="B11" s="36" t="s">
        <v>19</v>
      </c>
      <c r="C11" s="26"/>
      <c r="D11" s="26"/>
      <c r="E11" s="26"/>
      <c r="F11" s="26"/>
      <c r="G11" s="26"/>
      <c r="H11" s="26"/>
      <c r="I11" s="26"/>
      <c r="J11" s="37"/>
      <c r="K11" s="274" t="s">
        <v>12</v>
      </c>
      <c r="L11" s="276"/>
      <c r="M11" s="274" t="s">
        <v>13</v>
      </c>
      <c r="N11" s="276"/>
      <c r="O11" s="322" t="s">
        <v>14</v>
      </c>
    </row>
    <row r="12" spans="2:15" ht="66" thickBot="1">
      <c r="B12" s="39" t="s">
        <v>20</v>
      </c>
      <c r="C12" s="16"/>
      <c r="D12" s="40"/>
      <c r="E12" s="40"/>
      <c r="F12" s="28" t="s">
        <v>21</v>
      </c>
      <c r="G12" s="40"/>
      <c r="H12" s="28" t="s">
        <v>22</v>
      </c>
      <c r="I12" s="28" t="s">
        <v>85</v>
      </c>
      <c r="J12" s="41" t="s">
        <v>11</v>
      </c>
      <c r="K12" s="85" t="s">
        <v>80</v>
      </c>
      <c r="L12" s="97" t="s">
        <v>81</v>
      </c>
      <c r="M12" s="42" t="s">
        <v>80</v>
      </c>
      <c r="N12" s="97" t="s">
        <v>79</v>
      </c>
      <c r="O12" s="310"/>
    </row>
    <row r="13" spans="2:15" ht="15.75" thickBot="1">
      <c r="B13" s="1" t="s">
        <v>66</v>
      </c>
      <c r="C13" s="2"/>
      <c r="D13" s="6"/>
      <c r="E13" s="2"/>
      <c r="F13" s="6">
        <v>0</v>
      </c>
      <c r="G13" s="2"/>
      <c r="H13" s="6">
        <v>81.5</v>
      </c>
      <c r="I13" s="6">
        <v>0.0035</v>
      </c>
      <c r="J13" s="5">
        <v>0.5</v>
      </c>
      <c r="K13" s="6">
        <f>+F13*I13*J13</f>
        <v>0</v>
      </c>
      <c r="L13" s="105">
        <f>+H13*I13*J13</f>
        <v>0.142625</v>
      </c>
      <c r="M13" s="4">
        <f>+F13*I13</f>
        <v>0</v>
      </c>
      <c r="N13" s="87">
        <f>+H13*I13</f>
        <v>0.28525</v>
      </c>
      <c r="O13" s="9" t="s">
        <v>72</v>
      </c>
    </row>
    <row r="14" spans="2:15" ht="12.75">
      <c r="B14" s="39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3"/>
    </row>
    <row r="15" spans="2:15" ht="13.5" thickBot="1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3.5" thickBot="1"/>
    <row r="17" spans="2:15" ht="53.25" thickBot="1">
      <c r="B17" s="47" t="s">
        <v>26</v>
      </c>
      <c r="C17" s="38"/>
      <c r="D17" s="49"/>
      <c r="E17" s="48"/>
      <c r="F17" s="49" t="s">
        <v>27</v>
      </c>
      <c r="G17" s="48"/>
      <c r="H17" s="49" t="s">
        <v>28</v>
      </c>
      <c r="I17" s="49" t="s">
        <v>29</v>
      </c>
      <c r="J17" s="11" t="s">
        <v>86</v>
      </c>
      <c r="K17" s="12" t="s">
        <v>80</v>
      </c>
      <c r="L17" s="97" t="s">
        <v>82</v>
      </c>
      <c r="M17" s="12" t="s">
        <v>83</v>
      </c>
      <c r="N17" s="97" t="s">
        <v>84</v>
      </c>
      <c r="O17" s="14" t="s">
        <v>14</v>
      </c>
    </row>
    <row r="18" spans="2:15" ht="13.5" thickBot="1">
      <c r="B18" s="1" t="s">
        <v>17</v>
      </c>
      <c r="C18" s="2"/>
      <c r="D18" s="6"/>
      <c r="E18" s="2"/>
      <c r="F18" s="6">
        <v>22</v>
      </c>
      <c r="G18" s="2"/>
      <c r="H18" s="6">
        <v>0</v>
      </c>
      <c r="I18" s="6">
        <v>0.03</v>
      </c>
      <c r="J18" s="50">
        <v>19.8</v>
      </c>
      <c r="K18" s="51">
        <f>+H18*J18</f>
        <v>0</v>
      </c>
      <c r="L18" s="107">
        <f>I18*J18</f>
        <v>0.594</v>
      </c>
      <c r="M18" s="51">
        <f>K18*F18/2000</f>
        <v>0</v>
      </c>
      <c r="N18" s="107">
        <f>L18*F18/2000</f>
        <v>0.006534</v>
      </c>
      <c r="O18" s="3" t="s">
        <v>30</v>
      </c>
    </row>
    <row r="19" ht="31.5" thickBot="1">
      <c r="A19" s="140" t="s">
        <v>201</v>
      </c>
    </row>
    <row r="20" spans="2:15" ht="13.5" thickBot="1">
      <c r="B20" s="36" t="s">
        <v>69</v>
      </c>
      <c r="C20" s="26"/>
      <c r="D20" s="26"/>
      <c r="E20" s="26"/>
      <c r="F20" s="26"/>
      <c r="G20" s="26"/>
      <c r="H20" s="26"/>
      <c r="I20" s="26"/>
      <c r="J20" s="37"/>
      <c r="K20" s="274" t="s">
        <v>12</v>
      </c>
      <c r="L20" s="276"/>
      <c r="M20" s="274" t="s">
        <v>13</v>
      </c>
      <c r="N20" s="276"/>
      <c r="O20" s="322" t="s">
        <v>14</v>
      </c>
    </row>
    <row r="21" spans="2:15" ht="66" thickBot="1">
      <c r="B21" s="39" t="s">
        <v>5</v>
      </c>
      <c r="C21" s="16"/>
      <c r="D21" s="40"/>
      <c r="E21" s="40"/>
      <c r="F21" s="28" t="s">
        <v>70</v>
      </c>
      <c r="G21" s="40"/>
      <c r="H21" s="28" t="s">
        <v>22</v>
      </c>
      <c r="I21" s="28" t="s">
        <v>85</v>
      </c>
      <c r="J21" s="41" t="s">
        <v>11</v>
      </c>
      <c r="K21" s="85" t="s">
        <v>80</v>
      </c>
      <c r="L21" s="99" t="s">
        <v>81</v>
      </c>
      <c r="M21" s="42" t="s">
        <v>80</v>
      </c>
      <c r="N21" s="99" t="s">
        <v>81</v>
      </c>
      <c r="O21" s="309"/>
    </row>
    <row r="22" spans="2:15" ht="15">
      <c r="B22" s="36" t="s">
        <v>73</v>
      </c>
      <c r="C22" s="26"/>
      <c r="D22" s="77"/>
      <c r="E22" s="77"/>
      <c r="F22" s="58">
        <v>0</v>
      </c>
      <c r="G22" s="26"/>
      <c r="H22" s="58">
        <v>81.5</v>
      </c>
      <c r="I22" s="58">
        <v>0.02205</v>
      </c>
      <c r="J22" s="7">
        <v>0.5</v>
      </c>
      <c r="K22" s="58">
        <f>+F22*I22*J22</f>
        <v>0</v>
      </c>
      <c r="L22" s="88">
        <f>+H22*I22*J22</f>
        <v>0.8985375</v>
      </c>
      <c r="M22" s="81">
        <f>+F22*I22</f>
        <v>0</v>
      </c>
      <c r="N22" s="108">
        <f>+H22*I22</f>
        <v>1.797075</v>
      </c>
      <c r="O22" s="54" t="s">
        <v>23</v>
      </c>
    </row>
    <row r="23" spans="2:15" ht="13.5" thickBot="1">
      <c r="B23" s="44" t="s">
        <v>71</v>
      </c>
      <c r="C23" s="45"/>
      <c r="D23" s="71"/>
      <c r="E23" s="45"/>
      <c r="F23" s="71">
        <v>0</v>
      </c>
      <c r="G23" s="45"/>
      <c r="H23" s="71">
        <v>81.5</v>
      </c>
      <c r="I23" s="71">
        <v>0.009075</v>
      </c>
      <c r="J23" s="80">
        <v>0.5</v>
      </c>
      <c r="K23" s="71">
        <f>+F23*I23*J23</f>
        <v>0</v>
      </c>
      <c r="L23" s="89">
        <f>+H23*I23*J23</f>
        <v>0.36980625</v>
      </c>
      <c r="M23" s="76">
        <f>+F23*I23</f>
        <v>0</v>
      </c>
      <c r="N23" s="109">
        <f>+H23*I23</f>
        <v>0.7396125</v>
      </c>
      <c r="O23" s="110" t="s">
        <v>23</v>
      </c>
    </row>
    <row r="26" ht="13.5" thickBot="1"/>
    <row r="27" spans="3:10" ht="13.5" thickBot="1">
      <c r="C27" s="36" t="s">
        <v>87</v>
      </c>
      <c r="D27" s="26"/>
      <c r="E27" s="26"/>
      <c r="F27" s="26"/>
      <c r="G27" s="26"/>
      <c r="H27" s="26"/>
      <c r="I27" s="8" t="s">
        <v>31</v>
      </c>
      <c r="J27" s="7" t="s">
        <v>32</v>
      </c>
    </row>
    <row r="28" spans="3:10" ht="12.75">
      <c r="C28" s="39" t="s">
        <v>33</v>
      </c>
      <c r="D28" s="16"/>
      <c r="E28" s="16"/>
      <c r="F28" s="16"/>
      <c r="G28" s="16" t="s">
        <v>34</v>
      </c>
      <c r="H28" s="16"/>
      <c r="I28" s="83">
        <f>+K9+K13+K18+K22+K23</f>
        <v>0</v>
      </c>
      <c r="J28" s="84">
        <f>+L9+L13+L18+K22+K23</f>
        <v>140.8315510317166</v>
      </c>
    </row>
    <row r="29" spans="3:10" ht="12.75">
      <c r="C29" s="72" t="s">
        <v>35</v>
      </c>
      <c r="D29" s="17"/>
      <c r="E29" s="17"/>
      <c r="F29" s="17"/>
      <c r="G29" s="17"/>
      <c r="H29" s="17"/>
      <c r="I29" s="73">
        <f>+M9+M13+K18+M22+M23</f>
        <v>0</v>
      </c>
      <c r="J29" s="73">
        <f>+N9+N13+L18+N22+N23</f>
        <v>283.60578956343323</v>
      </c>
    </row>
    <row r="30" spans="3:10" ht="15.75" thickBot="1">
      <c r="C30" s="323" t="s">
        <v>131</v>
      </c>
      <c r="D30" s="324"/>
      <c r="E30" s="324"/>
      <c r="F30" s="324"/>
      <c r="G30" s="324"/>
      <c r="H30" s="325"/>
      <c r="I30" s="52">
        <f>+(M9+M13+K18+M22+M23)*0.34</f>
        <v>0</v>
      </c>
      <c r="J30" s="52">
        <f>+(N9+N13+L18+N22+N23)*0.34</f>
        <v>96.4259684515673</v>
      </c>
    </row>
    <row r="31" spans="3:10" ht="12.75">
      <c r="C31" s="74"/>
      <c r="D31" s="74"/>
      <c r="E31" s="74"/>
      <c r="F31" s="74"/>
      <c r="G31" s="74"/>
      <c r="H31" s="74"/>
      <c r="I31" s="75"/>
      <c r="J31" s="75"/>
    </row>
    <row r="32" spans="2:15" ht="12.75">
      <c r="B32" s="10"/>
      <c r="C32" s="10" t="s">
        <v>5</v>
      </c>
      <c r="O32" s="53"/>
    </row>
    <row r="34" s="82" customFormat="1" ht="12.75">
      <c r="B34" s="82" t="s">
        <v>164</v>
      </c>
    </row>
    <row r="35" s="82" customFormat="1" ht="12.75">
      <c r="B35" s="82" t="s">
        <v>91</v>
      </c>
    </row>
    <row r="36" spans="2:15" s="82" customFormat="1" ht="11.25">
      <c r="B36" s="106" t="s">
        <v>75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="82" customFormat="1" ht="11.25">
      <c r="B37" s="82" t="s">
        <v>74</v>
      </c>
    </row>
    <row r="38" spans="2:15" ht="12.75">
      <c r="B38" s="82" t="s">
        <v>130</v>
      </c>
      <c r="O38" s="53"/>
    </row>
  </sheetData>
  <sheetProtection/>
  <mergeCells count="22">
    <mergeCell ref="O20:O21"/>
    <mergeCell ref="O11:O12"/>
    <mergeCell ref="C30:H30"/>
    <mergeCell ref="N5:N8"/>
    <mergeCell ref="M5:M8"/>
    <mergeCell ref="K5:K8"/>
    <mergeCell ref="L5:L8"/>
    <mergeCell ref="H5:H8"/>
    <mergeCell ref="F5:F8"/>
    <mergeCell ref="D5:D8"/>
    <mergeCell ref="K20:L20"/>
    <mergeCell ref="M20:N20"/>
    <mergeCell ref="K11:L11"/>
    <mergeCell ref="M11:N11"/>
    <mergeCell ref="A1:N1"/>
    <mergeCell ref="A2:N2"/>
    <mergeCell ref="O5:O8"/>
    <mergeCell ref="J5:J8"/>
    <mergeCell ref="I5:I8"/>
    <mergeCell ref="M4:N4"/>
    <mergeCell ref="B6:B8"/>
    <mergeCell ref="K4:L4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&amp;C&amp;"Arial,Bold"&amp;16Table C-12</oddHeader>
    <oddFooter>&amp;L&amp;8M:\MC\2393 BP\EIR\&amp;F:&amp;A&amp;R&amp;8&amp;D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1"/>
  <dimension ref="A1:O38"/>
  <sheetViews>
    <sheetView zoomScale="70" zoomScaleNormal="70" zoomScalePageLayoutView="0" workbookViewId="0" topLeftCell="A1">
      <selection activeCell="A1" sqref="A1:N2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2.28125" style="0" customWidth="1"/>
    <col min="8" max="8" width="9.851562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5" s="104" customFormat="1" ht="21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245"/>
    </row>
    <row r="2" spans="1:15" s="104" customFormat="1" ht="21">
      <c r="A2" s="321" t="s">
        <v>186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245"/>
    </row>
    <row r="3" spans="2:14" ht="15.75" thickBot="1">
      <c r="B3" s="79" t="s">
        <v>123</v>
      </c>
      <c r="C3" s="24"/>
      <c r="G3" s="24"/>
      <c r="H3" s="24"/>
      <c r="M3" s="24"/>
      <c r="N3" s="24"/>
    </row>
    <row r="4" spans="2:15" ht="12.75" customHeight="1" thickBot="1">
      <c r="B4" s="36"/>
      <c r="C4" s="25"/>
      <c r="D4" s="26"/>
      <c r="E4" s="26"/>
      <c r="F4" s="98"/>
      <c r="G4" s="25"/>
      <c r="H4" s="25"/>
      <c r="I4" s="26"/>
      <c r="J4" s="37"/>
      <c r="K4" s="319" t="s">
        <v>12</v>
      </c>
      <c r="L4" s="320"/>
      <c r="M4" s="315" t="s">
        <v>13</v>
      </c>
      <c r="N4" s="307"/>
      <c r="O4" s="54"/>
    </row>
    <row r="5" spans="2:15" ht="12.75" customHeight="1">
      <c r="B5" s="21"/>
      <c r="C5" s="27"/>
      <c r="D5" s="332" t="s">
        <v>8</v>
      </c>
      <c r="E5" s="16"/>
      <c r="F5" s="332" t="s">
        <v>9</v>
      </c>
      <c r="G5" s="27"/>
      <c r="H5" s="313" t="s">
        <v>10</v>
      </c>
      <c r="I5" s="313" t="s">
        <v>77</v>
      </c>
      <c r="J5" s="311" t="s">
        <v>11</v>
      </c>
      <c r="K5" s="329" t="s">
        <v>78</v>
      </c>
      <c r="L5" s="326" t="s">
        <v>76</v>
      </c>
      <c r="M5" s="329" t="s">
        <v>15</v>
      </c>
      <c r="N5" s="326" t="s">
        <v>76</v>
      </c>
      <c r="O5" s="309" t="s">
        <v>14</v>
      </c>
    </row>
    <row r="6" spans="2:15" ht="12.75" customHeight="1">
      <c r="B6" s="316" t="s">
        <v>16</v>
      </c>
      <c r="C6" s="30"/>
      <c r="D6" s="333"/>
      <c r="E6" s="23"/>
      <c r="F6" s="313"/>
      <c r="G6" s="30"/>
      <c r="H6" s="313"/>
      <c r="I6" s="313"/>
      <c r="J6" s="311"/>
      <c r="K6" s="330"/>
      <c r="L6" s="327"/>
      <c r="M6" s="330"/>
      <c r="N6" s="327"/>
      <c r="O6" s="309"/>
    </row>
    <row r="7" spans="2:15" ht="13.5" customHeight="1">
      <c r="B7" s="317"/>
      <c r="C7" s="30"/>
      <c r="D7" s="333"/>
      <c r="E7" s="23"/>
      <c r="F7" s="313"/>
      <c r="G7" s="30"/>
      <c r="H7" s="313"/>
      <c r="I7" s="313"/>
      <c r="J7" s="311"/>
      <c r="K7" s="330"/>
      <c r="L7" s="327"/>
      <c r="M7" s="330"/>
      <c r="N7" s="327"/>
      <c r="O7" s="309"/>
    </row>
    <row r="8" spans="2:15" ht="13.5" customHeight="1" thickBot="1">
      <c r="B8" s="318"/>
      <c r="C8" s="31"/>
      <c r="D8" s="324"/>
      <c r="E8" s="32"/>
      <c r="F8" s="314"/>
      <c r="G8" s="31"/>
      <c r="H8" s="314"/>
      <c r="I8" s="314"/>
      <c r="J8" s="312"/>
      <c r="K8" s="331"/>
      <c r="L8" s="328"/>
      <c r="M8" s="331"/>
      <c r="N8" s="328"/>
      <c r="O8" s="310"/>
    </row>
    <row r="9" spans="2:15" ht="15.75" thickBot="1">
      <c r="B9" s="33" t="s">
        <v>65</v>
      </c>
      <c r="C9" s="34"/>
      <c r="D9" s="35">
        <v>0</v>
      </c>
      <c r="E9" s="35"/>
      <c r="F9" s="35">
        <v>4</v>
      </c>
      <c r="G9" s="35"/>
      <c r="H9" s="35">
        <v>8</v>
      </c>
      <c r="I9" s="219">
        <f>0.75*(7.5^1.5)/(2^1.4)</f>
        <v>5.837288584654858</v>
      </c>
      <c r="J9" s="35">
        <v>0.5</v>
      </c>
      <c r="K9" s="100">
        <f>+D9*H9*I9*J9</f>
        <v>0</v>
      </c>
      <c r="L9" s="101">
        <f>+F9*H9*I9*J9</f>
        <v>93.39661735447773</v>
      </c>
      <c r="M9" s="102">
        <f>+D9*H9*I9</f>
        <v>0</v>
      </c>
      <c r="N9" s="103">
        <f>+F9*H9*I9</f>
        <v>186.79323470895545</v>
      </c>
      <c r="O9" s="9" t="s">
        <v>18</v>
      </c>
    </row>
    <row r="10" ht="13.5" thickBot="1"/>
    <row r="11" spans="2:15" ht="13.5" customHeight="1" thickBot="1">
      <c r="B11" s="36" t="s">
        <v>19</v>
      </c>
      <c r="C11" s="26"/>
      <c r="D11" s="26"/>
      <c r="E11" s="26"/>
      <c r="F11" s="26"/>
      <c r="G11" s="26"/>
      <c r="H11" s="26"/>
      <c r="I11" s="26"/>
      <c r="J11" s="37"/>
      <c r="K11" s="274" t="s">
        <v>12</v>
      </c>
      <c r="L11" s="276"/>
      <c r="M11" s="274" t="s">
        <v>13</v>
      </c>
      <c r="N11" s="276"/>
      <c r="O11" s="322" t="s">
        <v>14</v>
      </c>
    </row>
    <row r="12" spans="2:15" ht="66" thickBot="1">
      <c r="B12" s="39" t="s">
        <v>20</v>
      </c>
      <c r="C12" s="16"/>
      <c r="D12" s="40"/>
      <c r="E12" s="40"/>
      <c r="F12" s="28" t="s">
        <v>21</v>
      </c>
      <c r="G12" s="40"/>
      <c r="H12" s="28" t="s">
        <v>22</v>
      </c>
      <c r="I12" s="28" t="s">
        <v>85</v>
      </c>
      <c r="J12" s="41" t="s">
        <v>11</v>
      </c>
      <c r="K12" s="85" t="s">
        <v>80</v>
      </c>
      <c r="L12" s="97" t="s">
        <v>81</v>
      </c>
      <c r="M12" s="42" t="s">
        <v>80</v>
      </c>
      <c r="N12" s="97" t="s">
        <v>79</v>
      </c>
      <c r="O12" s="310"/>
    </row>
    <row r="13" spans="2:15" ht="15.75" thickBot="1">
      <c r="B13" s="1" t="s">
        <v>66</v>
      </c>
      <c r="C13" s="2"/>
      <c r="D13" s="6"/>
      <c r="E13" s="2"/>
      <c r="F13" s="6">
        <v>0</v>
      </c>
      <c r="G13" s="2"/>
      <c r="H13" s="6">
        <v>130.6</v>
      </c>
      <c r="I13" s="6">
        <v>0.0035</v>
      </c>
      <c r="J13" s="5">
        <v>0.5</v>
      </c>
      <c r="K13" s="6">
        <f>+F13*I13*J13</f>
        <v>0</v>
      </c>
      <c r="L13" s="105">
        <f>+H13*I13*J13</f>
        <v>0.22855</v>
      </c>
      <c r="M13" s="4">
        <f>+F13*I13</f>
        <v>0</v>
      </c>
      <c r="N13" s="87">
        <f>+H13*I13</f>
        <v>0.4571</v>
      </c>
      <c r="O13" s="9" t="s">
        <v>72</v>
      </c>
    </row>
    <row r="14" spans="2:15" ht="12.75">
      <c r="B14" s="39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3"/>
    </row>
    <row r="15" spans="2:15" ht="13.5" thickBot="1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3.5" thickBot="1"/>
    <row r="17" spans="2:15" ht="53.25" thickBot="1">
      <c r="B17" s="47" t="s">
        <v>26</v>
      </c>
      <c r="C17" s="38"/>
      <c r="D17" s="49"/>
      <c r="E17" s="48"/>
      <c r="F17" s="49" t="s">
        <v>27</v>
      </c>
      <c r="G17" s="48"/>
      <c r="H17" s="49" t="s">
        <v>28</v>
      </c>
      <c r="I17" s="49" t="s">
        <v>29</v>
      </c>
      <c r="J17" s="11" t="s">
        <v>86</v>
      </c>
      <c r="K17" s="12" t="s">
        <v>80</v>
      </c>
      <c r="L17" s="97" t="s">
        <v>82</v>
      </c>
      <c r="M17" s="12" t="s">
        <v>83</v>
      </c>
      <c r="N17" s="97" t="s">
        <v>84</v>
      </c>
      <c r="O17" s="14" t="s">
        <v>14</v>
      </c>
    </row>
    <row r="18" spans="2:15" ht="13.5" thickBot="1">
      <c r="B18" s="1" t="s">
        <v>17</v>
      </c>
      <c r="C18" s="2"/>
      <c r="D18" s="6"/>
      <c r="E18" s="2"/>
      <c r="F18" s="6">
        <v>22</v>
      </c>
      <c r="G18" s="2"/>
      <c r="H18" s="6">
        <v>0</v>
      </c>
      <c r="I18" s="6">
        <v>0.016</v>
      </c>
      <c r="J18" s="50">
        <v>19.8</v>
      </c>
      <c r="K18" s="51">
        <f>+H18*J18</f>
        <v>0</v>
      </c>
      <c r="L18" s="107">
        <f>I18*J18</f>
        <v>0.3168</v>
      </c>
      <c r="M18" s="51">
        <f>K18*F18/2000</f>
        <v>0</v>
      </c>
      <c r="N18" s="107">
        <f>L18*F18/2000</f>
        <v>0.0034848</v>
      </c>
      <c r="O18" s="3" t="s">
        <v>30</v>
      </c>
    </row>
    <row r="19" ht="31.5" thickBot="1">
      <c r="A19" s="140" t="s">
        <v>202</v>
      </c>
    </row>
    <row r="20" spans="2:15" ht="13.5" thickBot="1">
      <c r="B20" s="36" t="s">
        <v>69</v>
      </c>
      <c r="C20" s="26"/>
      <c r="D20" s="26"/>
      <c r="E20" s="26"/>
      <c r="F20" s="26"/>
      <c r="G20" s="26"/>
      <c r="H20" s="26"/>
      <c r="I20" s="26"/>
      <c r="J20" s="37"/>
      <c r="K20" s="274" t="s">
        <v>12</v>
      </c>
      <c r="L20" s="276"/>
      <c r="M20" s="274" t="s">
        <v>13</v>
      </c>
      <c r="N20" s="276"/>
      <c r="O20" s="322" t="s">
        <v>14</v>
      </c>
    </row>
    <row r="21" spans="2:15" ht="66" thickBot="1">
      <c r="B21" s="39" t="s">
        <v>5</v>
      </c>
      <c r="C21" s="16"/>
      <c r="D21" s="40"/>
      <c r="E21" s="40"/>
      <c r="F21" s="28" t="s">
        <v>70</v>
      </c>
      <c r="G21" s="40"/>
      <c r="H21" s="28" t="s">
        <v>22</v>
      </c>
      <c r="I21" s="28" t="s">
        <v>85</v>
      </c>
      <c r="J21" s="41" t="s">
        <v>11</v>
      </c>
      <c r="K21" s="85" t="s">
        <v>80</v>
      </c>
      <c r="L21" s="99" t="s">
        <v>81</v>
      </c>
      <c r="M21" s="42" t="s">
        <v>80</v>
      </c>
      <c r="N21" s="99" t="s">
        <v>81</v>
      </c>
      <c r="O21" s="309"/>
    </row>
    <row r="22" spans="2:15" ht="15">
      <c r="B22" s="36" t="s">
        <v>73</v>
      </c>
      <c r="C22" s="26"/>
      <c r="D22" s="77"/>
      <c r="E22" s="77"/>
      <c r="F22" s="58">
        <v>0</v>
      </c>
      <c r="G22" s="26"/>
      <c r="H22" s="58">
        <v>130.6</v>
      </c>
      <c r="I22" s="58">
        <v>0.02205</v>
      </c>
      <c r="J22" s="7">
        <v>0.5</v>
      </c>
      <c r="K22" s="58">
        <f>+F22*I22*J22</f>
        <v>0</v>
      </c>
      <c r="L22" s="88">
        <f>+H22*I22*J22</f>
        <v>1.439865</v>
      </c>
      <c r="M22" s="81">
        <f>+F22*I22</f>
        <v>0</v>
      </c>
      <c r="N22" s="108">
        <f>+H22*I22</f>
        <v>2.87973</v>
      </c>
      <c r="O22" s="54" t="s">
        <v>23</v>
      </c>
    </row>
    <row r="23" spans="2:15" ht="13.5" thickBot="1">
      <c r="B23" s="44" t="s">
        <v>71</v>
      </c>
      <c r="C23" s="45"/>
      <c r="D23" s="71"/>
      <c r="E23" s="45"/>
      <c r="F23" s="71">
        <v>0</v>
      </c>
      <c r="G23" s="45"/>
      <c r="H23" s="71">
        <v>130.6</v>
      </c>
      <c r="I23" s="71">
        <v>0.009075</v>
      </c>
      <c r="J23" s="80">
        <v>0.5</v>
      </c>
      <c r="K23" s="71">
        <f>+F23*I23*J23</f>
        <v>0</v>
      </c>
      <c r="L23" s="89">
        <f>+H23*I23*J23</f>
        <v>0.5925975</v>
      </c>
      <c r="M23" s="76">
        <f>+F23*I23</f>
        <v>0</v>
      </c>
      <c r="N23" s="109">
        <f>+H23*I23</f>
        <v>1.185195</v>
      </c>
      <c r="O23" s="110" t="s">
        <v>23</v>
      </c>
    </row>
    <row r="26" ht="13.5" thickBot="1"/>
    <row r="27" spans="3:10" ht="13.5" thickBot="1">
      <c r="C27" s="36" t="s">
        <v>87</v>
      </c>
      <c r="D27" s="26"/>
      <c r="E27" s="26"/>
      <c r="F27" s="26"/>
      <c r="G27" s="26"/>
      <c r="H27" s="26"/>
      <c r="I27" s="8" t="s">
        <v>31</v>
      </c>
      <c r="J27" s="7" t="s">
        <v>32</v>
      </c>
    </row>
    <row r="28" spans="3:10" ht="12.75">
      <c r="C28" s="39" t="s">
        <v>33</v>
      </c>
      <c r="D28" s="16"/>
      <c r="E28" s="16"/>
      <c r="F28" s="16"/>
      <c r="G28" s="16" t="s">
        <v>34</v>
      </c>
      <c r="H28" s="16"/>
      <c r="I28" s="83">
        <f>+K9+K13+K18+K22+K23</f>
        <v>0</v>
      </c>
      <c r="J28" s="84">
        <f>+L9+L13+L18+K22+K23</f>
        <v>93.94196735447773</v>
      </c>
    </row>
    <row r="29" spans="3:10" ht="12.75">
      <c r="C29" s="72" t="s">
        <v>35</v>
      </c>
      <c r="D29" s="17"/>
      <c r="E29" s="17"/>
      <c r="F29" s="17"/>
      <c r="G29" s="17"/>
      <c r="H29" s="17"/>
      <c r="I29" s="73">
        <f>+M9+M13+K18+M22+M23</f>
        <v>0</v>
      </c>
      <c r="J29" s="73">
        <f>+N9+N13+L18+N22+N23</f>
        <v>191.63205970895544</v>
      </c>
    </row>
    <row r="30" spans="3:10" ht="15.75" thickBot="1">
      <c r="C30" s="323" t="s">
        <v>131</v>
      </c>
      <c r="D30" s="324"/>
      <c r="E30" s="324"/>
      <c r="F30" s="324"/>
      <c r="G30" s="324"/>
      <c r="H30" s="325"/>
      <c r="I30" s="52">
        <f>+(M9+M13+K18+M22+M23)*0.34</f>
        <v>0</v>
      </c>
      <c r="J30" s="52">
        <f>+(N9+N13+L18+N22+N23)*0.34</f>
        <v>65.15490030104485</v>
      </c>
    </row>
    <row r="31" spans="3:10" ht="12.75">
      <c r="C31" s="74"/>
      <c r="D31" s="74"/>
      <c r="E31" s="74"/>
      <c r="F31" s="74"/>
      <c r="G31" s="74"/>
      <c r="H31" s="74"/>
      <c r="I31" s="75"/>
      <c r="J31" s="75"/>
    </row>
    <row r="32" spans="2:15" ht="12.75">
      <c r="B32" s="10"/>
      <c r="C32" s="10" t="s">
        <v>5</v>
      </c>
      <c r="O32" s="53"/>
    </row>
    <row r="34" s="82" customFormat="1" ht="12.75">
      <c r="B34" s="82" t="s">
        <v>164</v>
      </c>
    </row>
    <row r="35" s="82" customFormat="1" ht="12.75">
      <c r="B35" s="82" t="s">
        <v>91</v>
      </c>
    </row>
    <row r="36" spans="2:15" s="82" customFormat="1" ht="11.25">
      <c r="B36" s="106" t="s">
        <v>75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="82" customFormat="1" ht="11.25">
      <c r="B37" s="82" t="s">
        <v>74</v>
      </c>
    </row>
    <row r="38" spans="2:15" ht="12.75">
      <c r="B38" s="82" t="s">
        <v>130</v>
      </c>
      <c r="O38" s="53"/>
    </row>
  </sheetData>
  <sheetProtection/>
  <mergeCells count="22">
    <mergeCell ref="O5:O8"/>
    <mergeCell ref="J5:J8"/>
    <mergeCell ref="I5:I8"/>
    <mergeCell ref="K20:L20"/>
    <mergeCell ref="M20:N20"/>
    <mergeCell ref="K11:L11"/>
    <mergeCell ref="M11:N11"/>
    <mergeCell ref="O20:O21"/>
    <mergeCell ref="O11:O12"/>
    <mergeCell ref="A1:N1"/>
    <mergeCell ref="A2:N2"/>
    <mergeCell ref="M4:N4"/>
    <mergeCell ref="B6:B8"/>
    <mergeCell ref="K4:L4"/>
    <mergeCell ref="H5:H8"/>
    <mergeCell ref="F5:F8"/>
    <mergeCell ref="D5:D8"/>
    <mergeCell ref="C30:H30"/>
    <mergeCell ref="N5:N8"/>
    <mergeCell ref="M5:M8"/>
    <mergeCell ref="K5:K8"/>
    <mergeCell ref="L5:L8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&amp;C&amp;"Arial,Bold"&amp;16Table C-13</oddHeader>
    <oddFooter>&amp;L&amp;8M:\MC\2393 BP\EIR\&amp;F:&amp;A&amp;R&amp;8&amp;D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3"/>
  <dimension ref="A1:O38"/>
  <sheetViews>
    <sheetView zoomScale="70" zoomScaleNormal="70" zoomScalePageLayoutView="0" workbookViewId="0" topLeftCell="D1">
      <selection activeCell="A1" sqref="A1:N2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2.28125" style="0" customWidth="1"/>
    <col min="8" max="8" width="9.851562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5" s="104" customFormat="1" ht="21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245"/>
    </row>
    <row r="2" spans="1:15" s="104" customFormat="1" ht="21">
      <c r="A2" s="321" t="s">
        <v>187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245"/>
    </row>
    <row r="3" spans="2:14" ht="15.75" thickBot="1">
      <c r="B3" s="79" t="s">
        <v>123</v>
      </c>
      <c r="C3" s="24"/>
      <c r="G3" s="24"/>
      <c r="H3" s="24"/>
      <c r="M3" s="24"/>
      <c r="N3" s="24"/>
    </row>
    <row r="4" spans="2:15" ht="12.75" customHeight="1" thickBot="1">
      <c r="B4" s="36"/>
      <c r="C4" s="25"/>
      <c r="D4" s="26"/>
      <c r="E4" s="26"/>
      <c r="F4" s="98"/>
      <c r="G4" s="25"/>
      <c r="H4" s="25"/>
      <c r="I4" s="26"/>
      <c r="J4" s="37"/>
      <c r="K4" s="319" t="s">
        <v>12</v>
      </c>
      <c r="L4" s="320"/>
      <c r="M4" s="315" t="s">
        <v>13</v>
      </c>
      <c r="N4" s="307"/>
      <c r="O4" s="54"/>
    </row>
    <row r="5" spans="2:15" ht="12.75" customHeight="1">
      <c r="B5" s="21"/>
      <c r="C5" s="27"/>
      <c r="D5" s="332" t="s">
        <v>8</v>
      </c>
      <c r="E5" s="16"/>
      <c r="F5" s="332" t="s">
        <v>9</v>
      </c>
      <c r="G5" s="27"/>
      <c r="H5" s="313" t="s">
        <v>10</v>
      </c>
      <c r="I5" s="313" t="s">
        <v>77</v>
      </c>
      <c r="J5" s="311" t="s">
        <v>11</v>
      </c>
      <c r="K5" s="329" t="s">
        <v>78</v>
      </c>
      <c r="L5" s="326" t="s">
        <v>76</v>
      </c>
      <c r="M5" s="329" t="s">
        <v>15</v>
      </c>
      <c r="N5" s="326" t="s">
        <v>76</v>
      </c>
      <c r="O5" s="309" t="s">
        <v>14</v>
      </c>
    </row>
    <row r="6" spans="2:15" ht="12.75" customHeight="1">
      <c r="B6" s="316" t="s">
        <v>16</v>
      </c>
      <c r="C6" s="30"/>
      <c r="D6" s="333"/>
      <c r="E6" s="23"/>
      <c r="F6" s="313"/>
      <c r="G6" s="30"/>
      <c r="H6" s="313"/>
      <c r="I6" s="313"/>
      <c r="J6" s="311"/>
      <c r="K6" s="330"/>
      <c r="L6" s="327"/>
      <c r="M6" s="330"/>
      <c r="N6" s="327"/>
      <c r="O6" s="309"/>
    </row>
    <row r="7" spans="2:15" ht="13.5" customHeight="1">
      <c r="B7" s="317"/>
      <c r="C7" s="30"/>
      <c r="D7" s="333"/>
      <c r="E7" s="23"/>
      <c r="F7" s="313"/>
      <c r="G7" s="30"/>
      <c r="H7" s="313"/>
      <c r="I7" s="313"/>
      <c r="J7" s="311"/>
      <c r="K7" s="330"/>
      <c r="L7" s="327"/>
      <c r="M7" s="330"/>
      <c r="N7" s="327"/>
      <c r="O7" s="309"/>
    </row>
    <row r="8" spans="2:15" ht="13.5" customHeight="1" thickBot="1">
      <c r="B8" s="318"/>
      <c r="C8" s="31"/>
      <c r="D8" s="324"/>
      <c r="E8" s="32"/>
      <c r="F8" s="314"/>
      <c r="G8" s="31"/>
      <c r="H8" s="314"/>
      <c r="I8" s="314"/>
      <c r="J8" s="312"/>
      <c r="K8" s="331"/>
      <c r="L8" s="328"/>
      <c r="M8" s="331"/>
      <c r="N8" s="328"/>
      <c r="O8" s="310"/>
    </row>
    <row r="9" spans="2:15" ht="15.75" thickBot="1">
      <c r="B9" s="33" t="s">
        <v>65</v>
      </c>
      <c r="C9" s="34"/>
      <c r="D9" s="35">
        <v>0</v>
      </c>
      <c r="E9" s="35"/>
      <c r="F9" s="35">
        <v>3</v>
      </c>
      <c r="G9" s="35"/>
      <c r="H9" s="35">
        <v>8</v>
      </c>
      <c r="I9" s="219">
        <f>0.75*(7.5^1.5)/(2^1.4)</f>
        <v>5.837288584654858</v>
      </c>
      <c r="J9" s="35">
        <v>0.5</v>
      </c>
      <c r="K9" s="100">
        <f>+D9*H9*I9*J9</f>
        <v>0</v>
      </c>
      <c r="L9" s="101">
        <f>+F9*H9*I9*J9</f>
        <v>70.0474630158583</v>
      </c>
      <c r="M9" s="102">
        <f>+D9*H9*I9</f>
        <v>0</v>
      </c>
      <c r="N9" s="103">
        <f>+F9*H9*I9</f>
        <v>140.0949260317166</v>
      </c>
      <c r="O9" s="9" t="s">
        <v>18</v>
      </c>
    </row>
    <row r="10" ht="13.5" thickBot="1"/>
    <row r="11" spans="2:15" ht="13.5" customHeight="1" thickBot="1">
      <c r="B11" s="36" t="s">
        <v>19</v>
      </c>
      <c r="C11" s="26"/>
      <c r="D11" s="26"/>
      <c r="E11" s="26"/>
      <c r="F11" s="26"/>
      <c r="G11" s="26"/>
      <c r="H11" s="26"/>
      <c r="I11" s="26"/>
      <c r="J11" s="37"/>
      <c r="K11" s="274" t="s">
        <v>12</v>
      </c>
      <c r="L11" s="276"/>
      <c r="M11" s="274" t="s">
        <v>13</v>
      </c>
      <c r="N11" s="276"/>
      <c r="O11" s="322" t="s">
        <v>14</v>
      </c>
    </row>
    <row r="12" spans="2:15" ht="66" thickBot="1">
      <c r="B12" s="39" t="s">
        <v>20</v>
      </c>
      <c r="C12" s="16"/>
      <c r="D12" s="40"/>
      <c r="E12" s="40"/>
      <c r="F12" s="28" t="s">
        <v>21</v>
      </c>
      <c r="G12" s="40"/>
      <c r="H12" s="28" t="s">
        <v>22</v>
      </c>
      <c r="I12" s="28" t="s">
        <v>85</v>
      </c>
      <c r="J12" s="41" t="s">
        <v>11</v>
      </c>
      <c r="K12" s="85" t="s">
        <v>80</v>
      </c>
      <c r="L12" s="97" t="s">
        <v>81</v>
      </c>
      <c r="M12" s="42" t="s">
        <v>80</v>
      </c>
      <c r="N12" s="97" t="s">
        <v>79</v>
      </c>
      <c r="O12" s="310"/>
    </row>
    <row r="13" spans="2:15" ht="15.75" thickBot="1">
      <c r="B13" s="1" t="s">
        <v>66</v>
      </c>
      <c r="C13" s="2"/>
      <c r="D13" s="6"/>
      <c r="E13" s="2"/>
      <c r="F13" s="6">
        <v>0</v>
      </c>
      <c r="G13" s="2"/>
      <c r="H13" s="6">
        <v>33.3</v>
      </c>
      <c r="I13" s="6">
        <v>0.0035</v>
      </c>
      <c r="J13" s="5">
        <v>0.5</v>
      </c>
      <c r="K13" s="6">
        <f>+F13*I13*J13</f>
        <v>0</v>
      </c>
      <c r="L13" s="105">
        <f>+H13*I13*J13</f>
        <v>0.058274999999999993</v>
      </c>
      <c r="M13" s="4">
        <f>+F13*I13</f>
        <v>0</v>
      </c>
      <c r="N13" s="87">
        <f>+H13*I13</f>
        <v>0.11654999999999999</v>
      </c>
      <c r="O13" s="9" t="s">
        <v>72</v>
      </c>
    </row>
    <row r="14" spans="2:15" ht="12.75">
      <c r="B14" s="39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3"/>
    </row>
    <row r="15" spans="2:15" ht="13.5" thickBot="1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3.5" thickBot="1"/>
    <row r="17" spans="2:15" ht="53.25" thickBot="1">
      <c r="B17" s="47" t="s">
        <v>26</v>
      </c>
      <c r="C17" s="38"/>
      <c r="D17" s="49"/>
      <c r="E17" s="48"/>
      <c r="F17" s="49" t="s">
        <v>27</v>
      </c>
      <c r="G17" s="48"/>
      <c r="H17" s="49" t="s">
        <v>28</v>
      </c>
      <c r="I17" s="49" t="s">
        <v>29</v>
      </c>
      <c r="J17" s="11" t="s">
        <v>86</v>
      </c>
      <c r="K17" s="12" t="s">
        <v>80</v>
      </c>
      <c r="L17" s="97" t="s">
        <v>82</v>
      </c>
      <c r="M17" s="12" t="s">
        <v>83</v>
      </c>
      <c r="N17" s="97" t="s">
        <v>84</v>
      </c>
      <c r="O17" s="14" t="s">
        <v>14</v>
      </c>
    </row>
    <row r="18" spans="2:15" ht="13.5" thickBot="1">
      <c r="B18" s="1" t="s">
        <v>17</v>
      </c>
      <c r="C18" s="2"/>
      <c r="D18" s="6"/>
      <c r="E18" s="2"/>
      <c r="F18" s="6">
        <v>22</v>
      </c>
      <c r="G18" s="2"/>
      <c r="H18" s="6">
        <v>0</v>
      </c>
      <c r="I18" s="6">
        <v>0.004</v>
      </c>
      <c r="J18" s="50">
        <v>19.8</v>
      </c>
      <c r="K18" s="51">
        <f>+H18*J18</f>
        <v>0</v>
      </c>
      <c r="L18" s="107">
        <f>I18*J18</f>
        <v>0.0792</v>
      </c>
      <c r="M18" s="51">
        <f>K18*F18/2000</f>
        <v>0</v>
      </c>
      <c r="N18" s="107">
        <f>L18*F18/2000</f>
        <v>0.0008712</v>
      </c>
      <c r="O18" s="3" t="s">
        <v>30</v>
      </c>
    </row>
    <row r="19" ht="31.5" thickBot="1">
      <c r="A19" s="140" t="s">
        <v>203</v>
      </c>
    </row>
    <row r="20" spans="2:15" ht="13.5" thickBot="1">
      <c r="B20" s="36" t="s">
        <v>69</v>
      </c>
      <c r="C20" s="26"/>
      <c r="D20" s="26"/>
      <c r="E20" s="26"/>
      <c r="F20" s="26"/>
      <c r="G20" s="26"/>
      <c r="H20" s="26"/>
      <c r="I20" s="26"/>
      <c r="J20" s="37"/>
      <c r="K20" s="274" t="s">
        <v>12</v>
      </c>
      <c r="L20" s="276"/>
      <c r="M20" s="274" t="s">
        <v>13</v>
      </c>
      <c r="N20" s="276"/>
      <c r="O20" s="322" t="s">
        <v>14</v>
      </c>
    </row>
    <row r="21" spans="2:15" ht="66" thickBot="1">
      <c r="B21" s="39" t="s">
        <v>5</v>
      </c>
      <c r="C21" s="16"/>
      <c r="D21" s="40"/>
      <c r="E21" s="40"/>
      <c r="F21" s="28" t="s">
        <v>70</v>
      </c>
      <c r="G21" s="40"/>
      <c r="H21" s="28" t="s">
        <v>22</v>
      </c>
      <c r="I21" s="28" t="s">
        <v>85</v>
      </c>
      <c r="J21" s="41" t="s">
        <v>11</v>
      </c>
      <c r="K21" s="85" t="s">
        <v>80</v>
      </c>
      <c r="L21" s="99" t="s">
        <v>81</v>
      </c>
      <c r="M21" s="42" t="s">
        <v>80</v>
      </c>
      <c r="N21" s="99" t="s">
        <v>81</v>
      </c>
      <c r="O21" s="309"/>
    </row>
    <row r="22" spans="2:15" ht="15">
      <c r="B22" s="36" t="s">
        <v>73</v>
      </c>
      <c r="C22" s="26"/>
      <c r="D22" s="77"/>
      <c r="E22" s="77"/>
      <c r="F22" s="58">
        <v>0</v>
      </c>
      <c r="G22" s="26"/>
      <c r="H22" s="58">
        <v>33.3</v>
      </c>
      <c r="I22" s="58">
        <v>0.02205</v>
      </c>
      <c r="J22" s="7">
        <v>0.5</v>
      </c>
      <c r="K22" s="58">
        <f>+F22*I22*J22</f>
        <v>0</v>
      </c>
      <c r="L22" s="88">
        <f>+H22*I22*J22</f>
        <v>0.3671325</v>
      </c>
      <c r="M22" s="81">
        <f>+F22*I22</f>
        <v>0</v>
      </c>
      <c r="N22" s="108">
        <f>+H22*I22</f>
        <v>0.734265</v>
      </c>
      <c r="O22" s="54" t="s">
        <v>23</v>
      </c>
    </row>
    <row r="23" spans="2:15" ht="13.5" thickBot="1">
      <c r="B23" s="44" t="s">
        <v>71</v>
      </c>
      <c r="C23" s="45"/>
      <c r="D23" s="71"/>
      <c r="E23" s="45"/>
      <c r="F23" s="71">
        <v>0</v>
      </c>
      <c r="G23" s="45"/>
      <c r="H23" s="71">
        <v>33.3</v>
      </c>
      <c r="I23" s="71">
        <v>0.009075</v>
      </c>
      <c r="J23" s="80">
        <v>0.5</v>
      </c>
      <c r="K23" s="71">
        <f>+F23*I23*J23</f>
        <v>0</v>
      </c>
      <c r="L23" s="89">
        <f>+H23*I23*J23</f>
        <v>0.15109874999999998</v>
      </c>
      <c r="M23" s="76">
        <f>+F23*I23</f>
        <v>0</v>
      </c>
      <c r="N23" s="109">
        <f>+H23*I23</f>
        <v>0.30219749999999995</v>
      </c>
      <c r="O23" s="110" t="s">
        <v>23</v>
      </c>
    </row>
    <row r="26" ht="13.5" thickBot="1"/>
    <row r="27" spans="3:10" ht="13.5" thickBot="1">
      <c r="C27" s="36" t="s">
        <v>87</v>
      </c>
      <c r="D27" s="26"/>
      <c r="E27" s="26"/>
      <c r="F27" s="26"/>
      <c r="G27" s="26"/>
      <c r="H27" s="26"/>
      <c r="I27" s="8" t="s">
        <v>31</v>
      </c>
      <c r="J27" s="7" t="s">
        <v>32</v>
      </c>
    </row>
    <row r="28" spans="3:10" ht="12.75">
      <c r="C28" s="39" t="s">
        <v>33</v>
      </c>
      <c r="D28" s="16"/>
      <c r="E28" s="16"/>
      <c r="F28" s="16"/>
      <c r="G28" s="16" t="s">
        <v>34</v>
      </c>
      <c r="H28" s="16"/>
      <c r="I28" s="83">
        <f>+K9+K13+K18+K22+K23</f>
        <v>0</v>
      </c>
      <c r="J28" s="84">
        <f>+L9+L13+L18+K22+K23</f>
        <v>70.1849380158583</v>
      </c>
    </row>
    <row r="29" spans="3:10" ht="12.75">
      <c r="C29" s="72" t="s">
        <v>35</v>
      </c>
      <c r="D29" s="17"/>
      <c r="E29" s="17"/>
      <c r="F29" s="17"/>
      <c r="G29" s="17"/>
      <c r="H29" s="17"/>
      <c r="I29" s="73">
        <f>+M9+M13+K18+M22+M23</f>
        <v>0</v>
      </c>
      <c r="J29" s="73">
        <f>+N9+N13+L18+N22+N23</f>
        <v>141.32713853171657</v>
      </c>
    </row>
    <row r="30" spans="3:10" ht="15.75" thickBot="1">
      <c r="C30" s="323" t="s">
        <v>131</v>
      </c>
      <c r="D30" s="324"/>
      <c r="E30" s="324"/>
      <c r="F30" s="324"/>
      <c r="G30" s="324"/>
      <c r="H30" s="325"/>
      <c r="I30" s="52">
        <f>+(M9+M13+K18+M22+M23)*0.34</f>
        <v>0</v>
      </c>
      <c r="J30" s="52">
        <f>+(N9+N13+L18+N22+N23)*0.34</f>
        <v>48.051227100783635</v>
      </c>
    </row>
    <row r="31" spans="3:10" ht="12.75">
      <c r="C31" s="74"/>
      <c r="D31" s="74"/>
      <c r="E31" s="74"/>
      <c r="F31" s="74"/>
      <c r="G31" s="74"/>
      <c r="H31" s="74"/>
      <c r="I31" s="75"/>
      <c r="J31" s="75"/>
    </row>
    <row r="32" spans="2:15" ht="12.75">
      <c r="B32" s="10"/>
      <c r="C32" s="10" t="s">
        <v>5</v>
      </c>
      <c r="O32" s="53"/>
    </row>
    <row r="34" s="82" customFormat="1" ht="12.75">
      <c r="B34" s="82" t="s">
        <v>164</v>
      </c>
    </row>
    <row r="35" s="82" customFormat="1" ht="12.75">
      <c r="B35" s="82" t="s">
        <v>91</v>
      </c>
    </row>
    <row r="36" spans="2:15" s="82" customFormat="1" ht="11.25">
      <c r="B36" s="106" t="s">
        <v>75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="82" customFormat="1" ht="11.25">
      <c r="B37" s="82" t="s">
        <v>74</v>
      </c>
    </row>
    <row r="38" spans="2:15" ht="12.75">
      <c r="B38" s="82" t="s">
        <v>130</v>
      </c>
      <c r="O38" s="53"/>
    </row>
  </sheetData>
  <sheetProtection/>
  <mergeCells count="22">
    <mergeCell ref="A1:N1"/>
    <mergeCell ref="O20:O21"/>
    <mergeCell ref="O11:O12"/>
    <mergeCell ref="C30:H30"/>
    <mergeCell ref="N5:N8"/>
    <mergeCell ref="M5:M8"/>
    <mergeCell ref="K5:K8"/>
    <mergeCell ref="L5:L8"/>
    <mergeCell ref="H5:H8"/>
    <mergeCell ref="F5:F8"/>
    <mergeCell ref="D5:D8"/>
    <mergeCell ref="K20:L20"/>
    <mergeCell ref="M20:N20"/>
    <mergeCell ref="K11:L11"/>
    <mergeCell ref="M11:N11"/>
    <mergeCell ref="A2:N2"/>
    <mergeCell ref="O5:O8"/>
    <mergeCell ref="J5:J8"/>
    <mergeCell ref="I5:I8"/>
    <mergeCell ref="M4:N4"/>
    <mergeCell ref="B6:B8"/>
    <mergeCell ref="K4:L4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&amp;C&amp;"Arial,Bold"&amp;16Table C-14</oddHeader>
    <oddFooter>&amp;L&amp;8M:\MC\2393 BP\EIR\&amp;F:&amp;A&amp;R&amp;8&amp;D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14"/>
  <dimension ref="A1:O38"/>
  <sheetViews>
    <sheetView zoomScale="70" zoomScaleNormal="70" zoomScalePageLayoutView="0" workbookViewId="0" topLeftCell="A1">
      <selection activeCell="A1" sqref="A1:N2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2.28125" style="0" customWidth="1"/>
    <col min="8" max="8" width="9.851562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5" s="104" customFormat="1" ht="21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245"/>
    </row>
    <row r="2" spans="1:15" s="104" customFormat="1" ht="21">
      <c r="A2" s="321" t="s">
        <v>188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245"/>
    </row>
    <row r="3" spans="2:14" ht="15.75" thickBot="1">
      <c r="B3" s="79" t="s">
        <v>123</v>
      </c>
      <c r="C3" s="24"/>
      <c r="G3" s="24"/>
      <c r="H3" s="24"/>
      <c r="M3" s="24"/>
      <c r="N3" s="24"/>
    </row>
    <row r="4" spans="2:15" ht="12.75" customHeight="1" thickBot="1">
      <c r="B4" s="36"/>
      <c r="C4" s="25"/>
      <c r="D4" s="26"/>
      <c r="E4" s="26"/>
      <c r="F4" s="98"/>
      <c r="G4" s="25"/>
      <c r="H4" s="25"/>
      <c r="I4" s="26"/>
      <c r="J4" s="37"/>
      <c r="K4" s="319" t="s">
        <v>12</v>
      </c>
      <c r="L4" s="320"/>
      <c r="M4" s="315" t="s">
        <v>13</v>
      </c>
      <c r="N4" s="307"/>
      <c r="O4" s="54"/>
    </row>
    <row r="5" spans="2:15" ht="12.75" customHeight="1">
      <c r="B5" s="21"/>
      <c r="C5" s="27"/>
      <c r="D5" s="332" t="s">
        <v>8</v>
      </c>
      <c r="E5" s="16"/>
      <c r="F5" s="332" t="s">
        <v>9</v>
      </c>
      <c r="G5" s="27"/>
      <c r="H5" s="313" t="s">
        <v>10</v>
      </c>
      <c r="I5" s="313" t="s">
        <v>77</v>
      </c>
      <c r="J5" s="311" t="s">
        <v>11</v>
      </c>
      <c r="K5" s="329" t="s">
        <v>78</v>
      </c>
      <c r="L5" s="326" t="s">
        <v>76</v>
      </c>
      <c r="M5" s="329" t="s">
        <v>15</v>
      </c>
      <c r="N5" s="326" t="s">
        <v>76</v>
      </c>
      <c r="O5" s="309" t="s">
        <v>14</v>
      </c>
    </row>
    <row r="6" spans="2:15" ht="12.75" customHeight="1">
      <c r="B6" s="316" t="s">
        <v>16</v>
      </c>
      <c r="C6" s="30"/>
      <c r="D6" s="333"/>
      <c r="E6" s="23"/>
      <c r="F6" s="313"/>
      <c r="G6" s="30"/>
      <c r="H6" s="313"/>
      <c r="I6" s="313"/>
      <c r="J6" s="311"/>
      <c r="K6" s="330"/>
      <c r="L6" s="327"/>
      <c r="M6" s="330"/>
      <c r="N6" s="327"/>
      <c r="O6" s="309"/>
    </row>
    <row r="7" spans="2:15" ht="13.5" customHeight="1">
      <c r="B7" s="317"/>
      <c r="C7" s="30"/>
      <c r="D7" s="333"/>
      <c r="E7" s="23"/>
      <c r="F7" s="313"/>
      <c r="G7" s="30"/>
      <c r="H7" s="313"/>
      <c r="I7" s="313"/>
      <c r="J7" s="311"/>
      <c r="K7" s="330"/>
      <c r="L7" s="327"/>
      <c r="M7" s="330"/>
      <c r="N7" s="327"/>
      <c r="O7" s="309"/>
    </row>
    <row r="8" spans="2:15" ht="13.5" customHeight="1" thickBot="1">
      <c r="B8" s="318"/>
      <c r="C8" s="31"/>
      <c r="D8" s="324"/>
      <c r="E8" s="32"/>
      <c r="F8" s="314"/>
      <c r="G8" s="31"/>
      <c r="H8" s="314"/>
      <c r="I8" s="314"/>
      <c r="J8" s="312"/>
      <c r="K8" s="331"/>
      <c r="L8" s="328"/>
      <c r="M8" s="331"/>
      <c r="N8" s="328"/>
      <c r="O8" s="310"/>
    </row>
    <row r="9" spans="2:15" ht="15.75" thickBot="1">
      <c r="B9" s="33" t="s">
        <v>65</v>
      </c>
      <c r="C9" s="34"/>
      <c r="D9" s="35">
        <v>0</v>
      </c>
      <c r="E9" s="35"/>
      <c r="F9" s="35">
        <v>0</v>
      </c>
      <c r="G9" s="35"/>
      <c r="H9" s="35">
        <v>8</v>
      </c>
      <c r="I9" s="219">
        <f>0.75*(7.5^1.5)/(2^1.4)</f>
        <v>5.837288584654858</v>
      </c>
      <c r="J9" s="35">
        <v>0.5</v>
      </c>
      <c r="K9" s="100">
        <f>+D9*H9*I9*J9</f>
        <v>0</v>
      </c>
      <c r="L9" s="101">
        <f>+F9*H9*I9*J9</f>
        <v>0</v>
      </c>
      <c r="M9" s="102">
        <f>+D9*H9*I9</f>
        <v>0</v>
      </c>
      <c r="N9" s="103">
        <f>+F9*H9*I9</f>
        <v>0</v>
      </c>
      <c r="O9" s="9" t="s">
        <v>18</v>
      </c>
    </row>
    <row r="10" ht="13.5" thickBot="1"/>
    <row r="11" spans="2:15" ht="13.5" customHeight="1" thickBot="1">
      <c r="B11" s="36" t="s">
        <v>19</v>
      </c>
      <c r="C11" s="26"/>
      <c r="D11" s="26"/>
      <c r="E11" s="26"/>
      <c r="F11" s="26"/>
      <c r="G11" s="26"/>
      <c r="H11" s="26"/>
      <c r="I11" s="26"/>
      <c r="J11" s="37"/>
      <c r="K11" s="274" t="s">
        <v>12</v>
      </c>
      <c r="L11" s="276"/>
      <c r="M11" s="274" t="s">
        <v>13</v>
      </c>
      <c r="N11" s="276"/>
      <c r="O11" s="322" t="s">
        <v>14</v>
      </c>
    </row>
    <row r="12" spans="2:15" ht="66" thickBot="1">
      <c r="B12" s="39" t="s">
        <v>20</v>
      </c>
      <c r="C12" s="16"/>
      <c r="D12" s="40"/>
      <c r="E12" s="40"/>
      <c r="F12" s="28" t="s">
        <v>21</v>
      </c>
      <c r="G12" s="40"/>
      <c r="H12" s="28" t="s">
        <v>22</v>
      </c>
      <c r="I12" s="28" t="s">
        <v>85</v>
      </c>
      <c r="J12" s="41" t="s">
        <v>11</v>
      </c>
      <c r="K12" s="85" t="s">
        <v>80</v>
      </c>
      <c r="L12" s="97" t="s">
        <v>81</v>
      </c>
      <c r="M12" s="42" t="s">
        <v>80</v>
      </c>
      <c r="N12" s="97" t="s">
        <v>79</v>
      </c>
      <c r="O12" s="310"/>
    </row>
    <row r="13" spans="2:15" ht="15.75" thickBot="1">
      <c r="B13" s="1" t="s">
        <v>66</v>
      </c>
      <c r="C13" s="2"/>
      <c r="D13" s="6"/>
      <c r="E13" s="2"/>
      <c r="F13" s="6">
        <v>0</v>
      </c>
      <c r="G13" s="2"/>
      <c r="H13" s="6">
        <v>0.74</v>
      </c>
      <c r="I13" s="6">
        <v>0.0035</v>
      </c>
      <c r="J13" s="5">
        <v>0.5</v>
      </c>
      <c r="K13" s="6">
        <f>+F13*I13*J13</f>
        <v>0</v>
      </c>
      <c r="L13" s="105">
        <f>+H13*I13*J13</f>
        <v>0.001295</v>
      </c>
      <c r="M13" s="4">
        <f>+F13*I13</f>
        <v>0</v>
      </c>
      <c r="N13" s="87">
        <f>+H13*I13</f>
        <v>0.00259</v>
      </c>
      <c r="O13" s="9" t="s">
        <v>72</v>
      </c>
    </row>
    <row r="14" spans="2:15" ht="12.75">
      <c r="B14" s="39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3"/>
    </row>
    <row r="15" spans="2:15" ht="13.5" thickBot="1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3.5" thickBot="1"/>
    <row r="17" spans="2:15" ht="53.25" thickBot="1">
      <c r="B17" s="47" t="s">
        <v>26</v>
      </c>
      <c r="C17" s="38"/>
      <c r="D17" s="49"/>
      <c r="E17" s="48"/>
      <c r="F17" s="49" t="s">
        <v>27</v>
      </c>
      <c r="G17" s="48"/>
      <c r="H17" s="49" t="s">
        <v>28</v>
      </c>
      <c r="I17" s="49" t="s">
        <v>29</v>
      </c>
      <c r="J17" s="11" t="s">
        <v>86</v>
      </c>
      <c r="K17" s="12" t="s">
        <v>80</v>
      </c>
      <c r="L17" s="97" t="s">
        <v>82</v>
      </c>
      <c r="M17" s="12" t="s">
        <v>83</v>
      </c>
      <c r="N17" s="97" t="s">
        <v>84</v>
      </c>
      <c r="O17" s="14" t="s">
        <v>14</v>
      </c>
    </row>
    <row r="18" spans="2:15" ht="13.5" thickBot="1">
      <c r="B18" s="1" t="s">
        <v>17</v>
      </c>
      <c r="C18" s="2"/>
      <c r="D18" s="6"/>
      <c r="E18" s="2"/>
      <c r="F18" s="6">
        <v>22</v>
      </c>
      <c r="G18" s="2"/>
      <c r="H18" s="6">
        <v>0</v>
      </c>
      <c r="I18" s="6">
        <v>0</v>
      </c>
      <c r="J18" s="50">
        <v>19.8</v>
      </c>
      <c r="K18" s="51">
        <f>+H18*J18</f>
        <v>0</v>
      </c>
      <c r="L18" s="107">
        <f>I18*J18</f>
        <v>0</v>
      </c>
      <c r="M18" s="51">
        <f>K18*F18/2000</f>
        <v>0</v>
      </c>
      <c r="N18" s="107">
        <f>L18*F18/2000</f>
        <v>0</v>
      </c>
      <c r="O18" s="3" t="s">
        <v>30</v>
      </c>
    </row>
    <row r="19" ht="31.5" thickBot="1">
      <c r="A19" s="140" t="s">
        <v>204</v>
      </c>
    </row>
    <row r="20" spans="2:15" ht="13.5" thickBot="1">
      <c r="B20" s="36" t="s">
        <v>69</v>
      </c>
      <c r="C20" s="26"/>
      <c r="D20" s="26"/>
      <c r="E20" s="26"/>
      <c r="F20" s="26"/>
      <c r="G20" s="26"/>
      <c r="H20" s="26"/>
      <c r="I20" s="26"/>
      <c r="J20" s="37"/>
      <c r="K20" s="274" t="s">
        <v>12</v>
      </c>
      <c r="L20" s="276"/>
      <c r="M20" s="274" t="s">
        <v>13</v>
      </c>
      <c r="N20" s="276"/>
      <c r="O20" s="322" t="s">
        <v>14</v>
      </c>
    </row>
    <row r="21" spans="2:15" ht="66" thickBot="1">
      <c r="B21" s="39" t="s">
        <v>5</v>
      </c>
      <c r="C21" s="16"/>
      <c r="D21" s="40"/>
      <c r="E21" s="40"/>
      <c r="F21" s="28" t="s">
        <v>70</v>
      </c>
      <c r="G21" s="40"/>
      <c r="H21" s="28" t="s">
        <v>22</v>
      </c>
      <c r="I21" s="28" t="s">
        <v>85</v>
      </c>
      <c r="J21" s="41" t="s">
        <v>11</v>
      </c>
      <c r="K21" s="85" t="s">
        <v>80</v>
      </c>
      <c r="L21" s="99" t="s">
        <v>81</v>
      </c>
      <c r="M21" s="42" t="s">
        <v>80</v>
      </c>
      <c r="N21" s="99" t="s">
        <v>81</v>
      </c>
      <c r="O21" s="309"/>
    </row>
    <row r="22" spans="2:15" ht="15">
      <c r="B22" s="36" t="s">
        <v>73</v>
      </c>
      <c r="C22" s="26"/>
      <c r="D22" s="77"/>
      <c r="E22" s="77"/>
      <c r="F22" s="58">
        <v>0</v>
      </c>
      <c r="G22" s="26"/>
      <c r="H22" s="58">
        <v>0.74</v>
      </c>
      <c r="I22" s="58">
        <v>0.02205</v>
      </c>
      <c r="J22" s="7">
        <v>0.5</v>
      </c>
      <c r="K22" s="58">
        <f>+F22*I22*J22</f>
        <v>0</v>
      </c>
      <c r="L22" s="88">
        <f>+H22*I22*J22</f>
        <v>0.0081585</v>
      </c>
      <c r="M22" s="81">
        <f>+F22*I22</f>
        <v>0</v>
      </c>
      <c r="N22" s="108">
        <f>+H22*I22</f>
        <v>0.016317</v>
      </c>
      <c r="O22" s="54" t="s">
        <v>23</v>
      </c>
    </row>
    <row r="23" spans="2:15" ht="13.5" thickBot="1">
      <c r="B23" s="44" t="s">
        <v>71</v>
      </c>
      <c r="C23" s="45"/>
      <c r="D23" s="71"/>
      <c r="E23" s="45"/>
      <c r="F23" s="71">
        <v>0</v>
      </c>
      <c r="G23" s="45"/>
      <c r="H23" s="71">
        <v>0.74</v>
      </c>
      <c r="I23" s="71">
        <v>0.009075</v>
      </c>
      <c r="J23" s="80">
        <v>0.5</v>
      </c>
      <c r="K23" s="71">
        <f>+F23*I23*J23</f>
        <v>0</v>
      </c>
      <c r="L23" s="89">
        <f>+H23*I23*J23</f>
        <v>0.00335775</v>
      </c>
      <c r="M23" s="76">
        <f>+F23*I23</f>
        <v>0</v>
      </c>
      <c r="N23" s="109">
        <f>+H23*I23</f>
        <v>0.0067155</v>
      </c>
      <c r="O23" s="110" t="s">
        <v>23</v>
      </c>
    </row>
    <row r="26" ht="13.5" thickBot="1"/>
    <row r="27" spans="3:10" ht="13.5" thickBot="1">
      <c r="C27" s="36" t="s">
        <v>87</v>
      </c>
      <c r="D27" s="26"/>
      <c r="E27" s="26"/>
      <c r="F27" s="26"/>
      <c r="G27" s="26"/>
      <c r="H27" s="26"/>
      <c r="I27" s="8" t="s">
        <v>31</v>
      </c>
      <c r="J27" s="7" t="s">
        <v>32</v>
      </c>
    </row>
    <row r="28" spans="3:10" ht="12.75">
      <c r="C28" s="39" t="s">
        <v>33</v>
      </c>
      <c r="D28" s="16"/>
      <c r="E28" s="16"/>
      <c r="F28" s="16"/>
      <c r="G28" s="16" t="s">
        <v>34</v>
      </c>
      <c r="H28" s="16"/>
      <c r="I28" s="83">
        <f>+K9+K13+K18+K22+K23</f>
        <v>0</v>
      </c>
      <c r="J28" s="84">
        <f>+L9+L13+L18+K22+K23</f>
        <v>0.001295</v>
      </c>
    </row>
    <row r="29" spans="3:10" ht="12.75">
      <c r="C29" s="72" t="s">
        <v>35</v>
      </c>
      <c r="D29" s="17"/>
      <c r="E29" s="17"/>
      <c r="F29" s="17"/>
      <c r="G29" s="17"/>
      <c r="H29" s="17"/>
      <c r="I29" s="73">
        <f>+M9+M13+K18+M22+M23</f>
        <v>0</v>
      </c>
      <c r="J29" s="73">
        <f>+N9+N13+L18+N22+N23</f>
        <v>0.0256225</v>
      </c>
    </row>
    <row r="30" spans="3:10" ht="15.75" thickBot="1">
      <c r="C30" s="323" t="s">
        <v>131</v>
      </c>
      <c r="D30" s="324"/>
      <c r="E30" s="324"/>
      <c r="F30" s="324"/>
      <c r="G30" s="324"/>
      <c r="H30" s="325"/>
      <c r="I30" s="52">
        <f>+(M9+M13+K18+M22+M23)*0.34</f>
        <v>0</v>
      </c>
      <c r="J30" s="52">
        <f>+(N9+N13+L18+N22+N23)*0.34</f>
        <v>0.00871165</v>
      </c>
    </row>
    <row r="31" spans="3:10" ht="12.75">
      <c r="C31" s="74"/>
      <c r="D31" s="74"/>
      <c r="E31" s="74"/>
      <c r="F31" s="74"/>
      <c r="G31" s="74"/>
      <c r="H31" s="74"/>
      <c r="I31" s="75"/>
      <c r="J31" s="75"/>
    </row>
    <row r="32" spans="2:15" ht="12.75">
      <c r="B32" s="10"/>
      <c r="C32" s="10" t="s">
        <v>5</v>
      </c>
      <c r="O32" s="53"/>
    </row>
    <row r="34" s="82" customFormat="1" ht="12.75">
      <c r="B34" s="82" t="s">
        <v>164</v>
      </c>
    </row>
    <row r="35" s="82" customFormat="1" ht="12.75">
      <c r="B35" s="82" t="s">
        <v>91</v>
      </c>
    </row>
    <row r="36" spans="2:15" s="82" customFormat="1" ht="11.25">
      <c r="B36" s="106" t="s">
        <v>75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="82" customFormat="1" ht="11.25">
      <c r="B37" s="82" t="s">
        <v>74</v>
      </c>
    </row>
    <row r="38" spans="2:15" ht="12.75">
      <c r="B38" s="82" t="s">
        <v>130</v>
      </c>
      <c r="O38" s="53"/>
    </row>
  </sheetData>
  <sheetProtection/>
  <mergeCells count="22">
    <mergeCell ref="O5:O8"/>
    <mergeCell ref="J5:J8"/>
    <mergeCell ref="I5:I8"/>
    <mergeCell ref="K20:L20"/>
    <mergeCell ref="M20:N20"/>
    <mergeCell ref="K11:L11"/>
    <mergeCell ref="M11:N11"/>
    <mergeCell ref="O20:O21"/>
    <mergeCell ref="O11:O12"/>
    <mergeCell ref="A1:N1"/>
    <mergeCell ref="A2:N2"/>
    <mergeCell ref="M4:N4"/>
    <mergeCell ref="B6:B8"/>
    <mergeCell ref="K4:L4"/>
    <mergeCell ref="H5:H8"/>
    <mergeCell ref="F5:F8"/>
    <mergeCell ref="D5:D8"/>
    <mergeCell ref="C30:H30"/>
    <mergeCell ref="N5:N8"/>
    <mergeCell ref="M5:M8"/>
    <mergeCell ref="K5:K8"/>
    <mergeCell ref="L5:L8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&amp;C&amp;"Arial,Bold"&amp;16Table C-15</oddHeader>
    <oddFooter>&amp;L&amp;8M:\MC\2393 BP\EIR\&amp;F:&amp;A&amp;R&amp;8&amp;D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15"/>
  <dimension ref="A1:O38"/>
  <sheetViews>
    <sheetView zoomScale="70" zoomScaleNormal="70" zoomScalePageLayoutView="0" workbookViewId="0" topLeftCell="A1">
      <selection activeCell="A1" sqref="A1:N2"/>
    </sheetView>
  </sheetViews>
  <sheetFormatPr defaultColWidth="9.140625" defaultRowHeight="12.75"/>
  <cols>
    <col min="2" max="2" width="36.7109375" style="0" customWidth="1"/>
    <col min="4" max="4" width="10.57421875" style="0" customWidth="1"/>
    <col min="6" max="6" width="12.28125" style="0" customWidth="1"/>
    <col min="8" max="8" width="9.8515625" style="0" customWidth="1"/>
    <col min="10" max="10" width="12.00390625" style="0" customWidth="1"/>
    <col min="11" max="11" width="11.57421875" style="0" customWidth="1"/>
    <col min="12" max="12" width="11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1.00390625" style="0" customWidth="1"/>
    <col min="17" max="17" width="11.28125" style="0" customWidth="1"/>
  </cols>
  <sheetData>
    <row r="1" spans="1:15" s="104" customFormat="1" ht="21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245"/>
    </row>
    <row r="2" spans="1:15" s="104" customFormat="1" ht="21">
      <c r="A2" s="321" t="s">
        <v>189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245"/>
    </row>
    <row r="3" spans="2:14" ht="15.75" thickBot="1">
      <c r="B3" s="79" t="s">
        <v>123</v>
      </c>
      <c r="C3" s="24"/>
      <c r="G3" s="24"/>
      <c r="H3" s="24"/>
      <c r="M3" s="24"/>
      <c r="N3" s="24"/>
    </row>
    <row r="4" spans="2:15" ht="12.75" customHeight="1" thickBot="1">
      <c r="B4" s="36"/>
      <c r="C4" s="25"/>
      <c r="D4" s="26"/>
      <c r="E4" s="26"/>
      <c r="F4" s="98"/>
      <c r="G4" s="25"/>
      <c r="H4" s="25"/>
      <c r="I4" s="26"/>
      <c r="J4" s="37"/>
      <c r="K4" s="319" t="s">
        <v>12</v>
      </c>
      <c r="L4" s="320"/>
      <c r="M4" s="315" t="s">
        <v>13</v>
      </c>
      <c r="N4" s="307"/>
      <c r="O4" s="54"/>
    </row>
    <row r="5" spans="2:15" ht="12.75" customHeight="1">
      <c r="B5" s="21"/>
      <c r="C5" s="27"/>
      <c r="D5" s="332" t="s">
        <v>8</v>
      </c>
      <c r="E5" s="16"/>
      <c r="F5" s="332" t="s">
        <v>9</v>
      </c>
      <c r="G5" s="27"/>
      <c r="H5" s="313" t="s">
        <v>10</v>
      </c>
      <c r="I5" s="313" t="s">
        <v>77</v>
      </c>
      <c r="J5" s="311" t="s">
        <v>11</v>
      </c>
      <c r="K5" s="329" t="s">
        <v>78</v>
      </c>
      <c r="L5" s="326" t="s">
        <v>76</v>
      </c>
      <c r="M5" s="329" t="s">
        <v>15</v>
      </c>
      <c r="N5" s="326" t="s">
        <v>76</v>
      </c>
      <c r="O5" s="309" t="s">
        <v>14</v>
      </c>
    </row>
    <row r="6" spans="2:15" ht="12.75" customHeight="1">
      <c r="B6" s="316" t="s">
        <v>16</v>
      </c>
      <c r="C6" s="30"/>
      <c r="D6" s="333"/>
      <c r="E6" s="23"/>
      <c r="F6" s="313"/>
      <c r="G6" s="30"/>
      <c r="H6" s="313"/>
      <c r="I6" s="313"/>
      <c r="J6" s="311"/>
      <c r="K6" s="330"/>
      <c r="L6" s="327"/>
      <c r="M6" s="330"/>
      <c r="N6" s="327"/>
      <c r="O6" s="309"/>
    </row>
    <row r="7" spans="2:15" ht="13.5" customHeight="1">
      <c r="B7" s="317"/>
      <c r="C7" s="30"/>
      <c r="D7" s="333"/>
      <c r="E7" s="23"/>
      <c r="F7" s="313"/>
      <c r="G7" s="30"/>
      <c r="H7" s="313"/>
      <c r="I7" s="313"/>
      <c r="J7" s="311"/>
      <c r="K7" s="330"/>
      <c r="L7" s="327"/>
      <c r="M7" s="330"/>
      <c r="N7" s="327"/>
      <c r="O7" s="309"/>
    </row>
    <row r="8" spans="2:15" ht="13.5" customHeight="1" thickBot="1">
      <c r="B8" s="318"/>
      <c r="C8" s="31"/>
      <c r="D8" s="324"/>
      <c r="E8" s="32"/>
      <c r="F8" s="314"/>
      <c r="G8" s="31"/>
      <c r="H8" s="314"/>
      <c r="I8" s="314"/>
      <c r="J8" s="312"/>
      <c r="K8" s="331"/>
      <c r="L8" s="328"/>
      <c r="M8" s="331"/>
      <c r="N8" s="328"/>
      <c r="O8" s="310"/>
    </row>
    <row r="9" spans="2:15" ht="15.75" thickBot="1">
      <c r="B9" s="33" t="s">
        <v>65</v>
      </c>
      <c r="C9" s="34"/>
      <c r="D9" s="35">
        <v>0</v>
      </c>
      <c r="E9" s="35"/>
      <c r="F9" s="35">
        <v>0</v>
      </c>
      <c r="G9" s="35"/>
      <c r="H9" s="35">
        <v>8</v>
      </c>
      <c r="I9" s="219">
        <f>0.75*(7.5^1.5)/(2^1.4)</f>
        <v>5.837288584654858</v>
      </c>
      <c r="J9" s="35">
        <v>0.5</v>
      </c>
      <c r="K9" s="100">
        <f>+D9*H9*I9*J9</f>
        <v>0</v>
      </c>
      <c r="L9" s="101">
        <f>+F9*H9*I9*J9</f>
        <v>0</v>
      </c>
      <c r="M9" s="102">
        <f>+D9*H9*I9</f>
        <v>0</v>
      </c>
      <c r="N9" s="103">
        <f>+F9*H9*I9</f>
        <v>0</v>
      </c>
      <c r="O9" s="9" t="s">
        <v>18</v>
      </c>
    </row>
    <row r="10" ht="13.5" thickBot="1"/>
    <row r="11" spans="2:15" ht="13.5" customHeight="1" thickBot="1">
      <c r="B11" s="36" t="s">
        <v>19</v>
      </c>
      <c r="C11" s="26"/>
      <c r="D11" s="26"/>
      <c r="E11" s="26"/>
      <c r="F11" s="26"/>
      <c r="G11" s="26"/>
      <c r="H11" s="26"/>
      <c r="I11" s="26"/>
      <c r="J11" s="37"/>
      <c r="K11" s="274" t="s">
        <v>12</v>
      </c>
      <c r="L11" s="276"/>
      <c r="M11" s="274" t="s">
        <v>13</v>
      </c>
      <c r="N11" s="276"/>
      <c r="O11" s="322" t="s">
        <v>14</v>
      </c>
    </row>
    <row r="12" spans="2:15" ht="66" thickBot="1">
      <c r="B12" s="39" t="s">
        <v>20</v>
      </c>
      <c r="C12" s="16"/>
      <c r="D12" s="40"/>
      <c r="E12" s="40"/>
      <c r="F12" s="28" t="s">
        <v>21</v>
      </c>
      <c r="G12" s="40"/>
      <c r="H12" s="28" t="s">
        <v>22</v>
      </c>
      <c r="I12" s="28" t="s">
        <v>85</v>
      </c>
      <c r="J12" s="41" t="s">
        <v>11</v>
      </c>
      <c r="K12" s="85" t="s">
        <v>80</v>
      </c>
      <c r="L12" s="97" t="s">
        <v>81</v>
      </c>
      <c r="M12" s="42" t="s">
        <v>80</v>
      </c>
      <c r="N12" s="97" t="s">
        <v>79</v>
      </c>
      <c r="O12" s="310"/>
    </row>
    <row r="13" spans="2:15" ht="15.75" thickBot="1">
      <c r="B13" s="1" t="s">
        <v>66</v>
      </c>
      <c r="C13" s="2"/>
      <c r="D13" s="6"/>
      <c r="E13" s="2"/>
      <c r="F13" s="6">
        <v>0</v>
      </c>
      <c r="G13" s="2"/>
      <c r="H13" s="6">
        <v>0</v>
      </c>
      <c r="I13" s="6">
        <v>0.0035</v>
      </c>
      <c r="J13" s="5">
        <v>0.5</v>
      </c>
      <c r="K13" s="6">
        <f>+F13*I13*J13</f>
        <v>0</v>
      </c>
      <c r="L13" s="105">
        <f>+H13*I13*J13</f>
        <v>0</v>
      </c>
      <c r="M13" s="4">
        <f>+F13*I13</f>
        <v>0</v>
      </c>
      <c r="N13" s="87">
        <f>+H13*I13</f>
        <v>0</v>
      </c>
      <c r="O13" s="9" t="s">
        <v>72</v>
      </c>
    </row>
    <row r="14" spans="2:15" ht="12.75">
      <c r="B14" s="39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3"/>
    </row>
    <row r="15" spans="2:15" ht="13.5" thickBot="1">
      <c r="B15" s="44" t="s">
        <v>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3.5" thickBot="1"/>
    <row r="17" spans="2:15" ht="53.25" thickBot="1">
      <c r="B17" s="47" t="s">
        <v>26</v>
      </c>
      <c r="C17" s="38"/>
      <c r="D17" s="49"/>
      <c r="E17" s="48"/>
      <c r="F17" s="49" t="s">
        <v>27</v>
      </c>
      <c r="G17" s="48"/>
      <c r="H17" s="49" t="s">
        <v>28</v>
      </c>
      <c r="I17" s="49" t="s">
        <v>29</v>
      </c>
      <c r="J17" s="11" t="s">
        <v>86</v>
      </c>
      <c r="K17" s="12" t="s">
        <v>80</v>
      </c>
      <c r="L17" s="97" t="s">
        <v>82</v>
      </c>
      <c r="M17" s="12" t="s">
        <v>83</v>
      </c>
      <c r="N17" s="97" t="s">
        <v>84</v>
      </c>
      <c r="O17" s="14" t="s">
        <v>14</v>
      </c>
    </row>
    <row r="18" spans="2:15" ht="13.5" thickBot="1">
      <c r="B18" s="1" t="s">
        <v>17</v>
      </c>
      <c r="C18" s="2"/>
      <c r="D18" s="6"/>
      <c r="E18" s="2"/>
      <c r="F18" s="6">
        <v>22</v>
      </c>
      <c r="G18" s="2"/>
      <c r="H18" s="6">
        <v>0</v>
      </c>
      <c r="I18" s="6">
        <v>0</v>
      </c>
      <c r="J18" s="50">
        <v>19.8</v>
      </c>
      <c r="K18" s="51">
        <f>+H18*J18</f>
        <v>0</v>
      </c>
      <c r="L18" s="107">
        <f>I18*J18</f>
        <v>0</v>
      </c>
      <c r="M18" s="51">
        <f>K18*F18/2000</f>
        <v>0</v>
      </c>
      <c r="N18" s="107">
        <f>L18*F18/2000</f>
        <v>0</v>
      </c>
      <c r="O18" s="3" t="s">
        <v>30</v>
      </c>
    </row>
    <row r="19" ht="31.5" thickBot="1">
      <c r="A19" s="140" t="s">
        <v>205</v>
      </c>
    </row>
    <row r="20" spans="2:15" ht="13.5" thickBot="1">
      <c r="B20" s="36" t="s">
        <v>69</v>
      </c>
      <c r="C20" s="26"/>
      <c r="D20" s="26"/>
      <c r="E20" s="26"/>
      <c r="F20" s="26"/>
      <c r="G20" s="26"/>
      <c r="H20" s="26"/>
      <c r="I20" s="26"/>
      <c r="J20" s="37"/>
      <c r="K20" s="274" t="s">
        <v>12</v>
      </c>
      <c r="L20" s="276"/>
      <c r="M20" s="274" t="s">
        <v>13</v>
      </c>
      <c r="N20" s="276"/>
      <c r="O20" s="322" t="s">
        <v>14</v>
      </c>
    </row>
    <row r="21" spans="2:15" ht="66" thickBot="1">
      <c r="B21" s="39" t="s">
        <v>5</v>
      </c>
      <c r="C21" s="16"/>
      <c r="D21" s="40"/>
      <c r="E21" s="40"/>
      <c r="F21" s="28" t="s">
        <v>70</v>
      </c>
      <c r="G21" s="40"/>
      <c r="H21" s="28" t="s">
        <v>22</v>
      </c>
      <c r="I21" s="28" t="s">
        <v>85</v>
      </c>
      <c r="J21" s="41" t="s">
        <v>11</v>
      </c>
      <c r="K21" s="85" t="s">
        <v>80</v>
      </c>
      <c r="L21" s="99" t="s">
        <v>81</v>
      </c>
      <c r="M21" s="42" t="s">
        <v>80</v>
      </c>
      <c r="N21" s="99" t="s">
        <v>81</v>
      </c>
      <c r="O21" s="309"/>
    </row>
    <row r="22" spans="2:15" ht="15">
      <c r="B22" s="36" t="s">
        <v>73</v>
      </c>
      <c r="C22" s="26"/>
      <c r="D22" s="77"/>
      <c r="E22" s="77"/>
      <c r="F22" s="58">
        <v>0</v>
      </c>
      <c r="G22" s="26"/>
      <c r="H22" s="58">
        <v>0</v>
      </c>
      <c r="I22" s="58">
        <v>0.02205</v>
      </c>
      <c r="J22" s="7">
        <v>0.5</v>
      </c>
      <c r="K22" s="58">
        <f>+F22*I22*J22</f>
        <v>0</v>
      </c>
      <c r="L22" s="88">
        <f>+H22*I22*J22</f>
        <v>0</v>
      </c>
      <c r="M22" s="81">
        <f>+F22*I22</f>
        <v>0</v>
      </c>
      <c r="N22" s="108">
        <f>+H22*I22</f>
        <v>0</v>
      </c>
      <c r="O22" s="54" t="s">
        <v>23</v>
      </c>
    </row>
    <row r="23" spans="2:15" ht="13.5" thickBot="1">
      <c r="B23" s="44" t="s">
        <v>71</v>
      </c>
      <c r="C23" s="45"/>
      <c r="D23" s="71"/>
      <c r="E23" s="45"/>
      <c r="F23" s="71">
        <v>0</v>
      </c>
      <c r="G23" s="45"/>
      <c r="H23" s="71">
        <v>0</v>
      </c>
      <c r="I23" s="71">
        <v>0.009075</v>
      </c>
      <c r="J23" s="80">
        <v>0.5</v>
      </c>
      <c r="K23" s="71">
        <f>+F23*I23*J23</f>
        <v>0</v>
      </c>
      <c r="L23" s="89">
        <f>+H23*I23*J23</f>
        <v>0</v>
      </c>
      <c r="M23" s="76">
        <f>+F23*I23</f>
        <v>0</v>
      </c>
      <c r="N23" s="109">
        <f>+H23*I23</f>
        <v>0</v>
      </c>
      <c r="O23" s="110" t="s">
        <v>23</v>
      </c>
    </row>
    <row r="26" ht="13.5" thickBot="1"/>
    <row r="27" spans="3:10" ht="13.5" thickBot="1">
      <c r="C27" s="36" t="s">
        <v>87</v>
      </c>
      <c r="D27" s="26"/>
      <c r="E27" s="26"/>
      <c r="F27" s="26"/>
      <c r="G27" s="26"/>
      <c r="H27" s="26"/>
      <c r="I27" s="8" t="s">
        <v>31</v>
      </c>
      <c r="J27" s="7" t="s">
        <v>32</v>
      </c>
    </row>
    <row r="28" spans="3:10" ht="12.75">
      <c r="C28" s="39" t="s">
        <v>33</v>
      </c>
      <c r="D28" s="16"/>
      <c r="E28" s="16"/>
      <c r="F28" s="16"/>
      <c r="G28" s="16" t="s">
        <v>34</v>
      </c>
      <c r="H28" s="16"/>
      <c r="I28" s="83">
        <f>+K9+K13+K18+K22+K23</f>
        <v>0</v>
      </c>
      <c r="J28" s="84">
        <f>+L9+L13+L18+K22+K23</f>
        <v>0</v>
      </c>
    </row>
    <row r="29" spans="3:10" ht="12.75">
      <c r="C29" s="72" t="s">
        <v>35</v>
      </c>
      <c r="D29" s="17"/>
      <c r="E29" s="17"/>
      <c r="F29" s="17"/>
      <c r="G29" s="17"/>
      <c r="H29" s="17"/>
      <c r="I29" s="73">
        <f>+M9+M13+K18+M22+M23</f>
        <v>0</v>
      </c>
      <c r="J29" s="73">
        <f>+N9+N13+L18+N22+N23</f>
        <v>0</v>
      </c>
    </row>
    <row r="30" spans="3:10" ht="15.75" thickBot="1">
      <c r="C30" s="323" t="s">
        <v>131</v>
      </c>
      <c r="D30" s="324"/>
      <c r="E30" s="324"/>
      <c r="F30" s="324"/>
      <c r="G30" s="324"/>
      <c r="H30" s="325"/>
      <c r="I30" s="52">
        <f>+(M9+M13+K18+M22+M23)*0.34</f>
        <v>0</v>
      </c>
      <c r="J30" s="52">
        <f>+(N9+N13+L18+N22+N23)*0.34</f>
        <v>0</v>
      </c>
    </row>
    <row r="31" spans="3:10" ht="12.75">
      <c r="C31" s="74"/>
      <c r="D31" s="74"/>
      <c r="E31" s="74"/>
      <c r="F31" s="74"/>
      <c r="G31" s="74"/>
      <c r="H31" s="74"/>
      <c r="I31" s="75"/>
      <c r="J31" s="75"/>
    </row>
    <row r="32" spans="2:15" ht="12.75">
      <c r="B32" s="10"/>
      <c r="C32" s="10" t="s">
        <v>5</v>
      </c>
      <c r="O32" s="53"/>
    </row>
    <row r="34" s="82" customFormat="1" ht="12.75">
      <c r="B34" s="82" t="s">
        <v>164</v>
      </c>
    </row>
    <row r="35" s="82" customFormat="1" ht="12.75">
      <c r="B35" s="82" t="s">
        <v>91</v>
      </c>
    </row>
    <row r="36" spans="2:15" s="82" customFormat="1" ht="11.25">
      <c r="B36" s="106" t="s">
        <v>75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="82" customFormat="1" ht="11.25">
      <c r="B37" s="82" t="s">
        <v>74</v>
      </c>
    </row>
    <row r="38" spans="2:15" ht="12.75">
      <c r="B38" s="82" t="s">
        <v>130</v>
      </c>
      <c r="O38" s="53"/>
    </row>
  </sheetData>
  <sheetProtection/>
  <mergeCells count="22">
    <mergeCell ref="O20:O21"/>
    <mergeCell ref="O11:O12"/>
    <mergeCell ref="C30:H30"/>
    <mergeCell ref="N5:N8"/>
    <mergeCell ref="M5:M8"/>
    <mergeCell ref="K5:K8"/>
    <mergeCell ref="L5:L8"/>
    <mergeCell ref="H5:H8"/>
    <mergeCell ref="F5:F8"/>
    <mergeCell ref="D5:D8"/>
    <mergeCell ref="K20:L20"/>
    <mergeCell ref="M20:N20"/>
    <mergeCell ref="K11:L11"/>
    <mergeCell ref="M11:N11"/>
    <mergeCell ref="A1:N1"/>
    <mergeCell ref="A2:N2"/>
    <mergeCell ref="O5:O8"/>
    <mergeCell ref="J5:J8"/>
    <mergeCell ref="I5:I8"/>
    <mergeCell ref="M4:N4"/>
    <mergeCell ref="B6:B8"/>
    <mergeCell ref="K4:L4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Header>&amp;C&amp;"Arial,Bold"&amp;16Table C-16</oddHeader>
    <oddFooter>&amp;L&amp;8M:\MC\2393 BP\EIR\&amp;F:&amp;A&amp;R&amp;8&amp;D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K33"/>
  <sheetViews>
    <sheetView zoomScale="85" zoomScaleNormal="85" zoomScalePageLayoutView="0" workbookViewId="0" topLeftCell="A1">
      <selection activeCell="A17" sqref="A17:A19"/>
    </sheetView>
  </sheetViews>
  <sheetFormatPr defaultColWidth="9.140625" defaultRowHeight="12.75"/>
  <cols>
    <col min="1" max="1" width="12.8515625" style="0" customWidth="1"/>
    <col min="3" max="3" width="15.421875" style="0" customWidth="1"/>
    <col min="12" max="12" width="8.421875" style="0" customWidth="1"/>
  </cols>
  <sheetData>
    <row r="1" spans="2:11" ht="15">
      <c r="B1" s="334" t="s">
        <v>36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ht="15">
      <c r="B2" s="334" t="s">
        <v>180</v>
      </c>
      <c r="C2" s="334"/>
      <c r="D2" s="334"/>
      <c r="E2" s="334"/>
      <c r="F2" s="334"/>
      <c r="G2" s="334"/>
      <c r="H2" s="334"/>
      <c r="I2" s="334"/>
      <c r="J2" s="334"/>
      <c r="K2" s="334"/>
    </row>
    <row r="3" ht="13.5" thickBot="1"/>
    <row r="4" spans="2:11" ht="46.5" customHeight="1" thickBot="1">
      <c r="B4" s="274" t="s">
        <v>37</v>
      </c>
      <c r="C4" s="275"/>
      <c r="D4" s="2"/>
      <c r="E4" s="5" t="s">
        <v>38</v>
      </c>
      <c r="F4" s="6"/>
      <c r="G4" s="6" t="s">
        <v>39</v>
      </c>
      <c r="H4" s="49" t="s">
        <v>40</v>
      </c>
      <c r="I4" s="49" t="s">
        <v>41</v>
      </c>
      <c r="J4" s="48" t="s">
        <v>42</v>
      </c>
      <c r="K4" s="29" t="s">
        <v>43</v>
      </c>
    </row>
    <row r="5" spans="2:11" ht="12.75">
      <c r="B5" s="36"/>
      <c r="C5" s="16"/>
      <c r="D5" s="16"/>
      <c r="E5" s="43"/>
      <c r="F5" s="16"/>
      <c r="G5" s="16"/>
      <c r="H5" s="16"/>
      <c r="I5" s="16"/>
      <c r="J5" s="16"/>
      <c r="K5" s="54"/>
    </row>
    <row r="6" spans="2:11" ht="12.75">
      <c r="B6" s="39" t="s">
        <v>44</v>
      </c>
      <c r="C6" s="16"/>
      <c r="D6" s="16"/>
      <c r="E6" s="43"/>
      <c r="F6" s="16"/>
      <c r="G6" s="16"/>
      <c r="H6" s="16"/>
      <c r="I6" s="16"/>
      <c r="J6" s="16"/>
      <c r="K6" s="55"/>
    </row>
    <row r="7" spans="2:11" ht="12.75">
      <c r="B7" s="39" t="s">
        <v>45</v>
      </c>
      <c r="C7" s="16"/>
      <c r="E7" s="227">
        <v>125</v>
      </c>
      <c r="F7" s="22"/>
      <c r="G7" s="22" t="s">
        <v>46</v>
      </c>
      <c r="H7" s="22">
        <v>2</v>
      </c>
      <c r="I7" s="22">
        <v>16.2</v>
      </c>
      <c r="J7" s="16">
        <f>0.000856-0.00047</f>
        <v>0.000386</v>
      </c>
      <c r="K7" s="70">
        <f>E7*H7*I7*J7</f>
        <v>1.5633</v>
      </c>
    </row>
    <row r="8" spans="2:11" ht="12.75">
      <c r="B8" s="39" t="s">
        <v>5</v>
      </c>
      <c r="C8" s="16"/>
      <c r="D8" s="16"/>
      <c r="E8" s="43"/>
      <c r="F8" s="16"/>
      <c r="G8" s="16"/>
      <c r="H8" s="16"/>
      <c r="I8" s="16"/>
      <c r="J8" s="16"/>
      <c r="K8" s="78"/>
    </row>
    <row r="9" spans="2:11" ht="12.75">
      <c r="B9" s="39" t="s">
        <v>111</v>
      </c>
      <c r="C9" s="16"/>
      <c r="D9" s="16"/>
      <c r="E9" s="56">
        <v>0</v>
      </c>
      <c r="F9" s="16"/>
      <c r="G9" s="22" t="s">
        <v>46</v>
      </c>
      <c r="H9" s="22">
        <v>1</v>
      </c>
      <c r="I9" s="22">
        <v>2.5</v>
      </c>
      <c r="J9" s="16">
        <f>0.000856-0.00047</f>
        <v>0.000386</v>
      </c>
      <c r="K9" s="70">
        <f>E9*H9*I9*J9</f>
        <v>0</v>
      </c>
    </row>
    <row r="10" spans="2:11" ht="12.75">
      <c r="B10" s="39"/>
      <c r="C10" s="16"/>
      <c r="D10" s="16"/>
      <c r="E10" s="43"/>
      <c r="F10" s="16"/>
      <c r="G10" s="16"/>
      <c r="H10" s="16"/>
      <c r="I10" s="16"/>
      <c r="J10" s="16"/>
      <c r="K10" s="78"/>
    </row>
    <row r="11" spans="2:11" ht="12.75">
      <c r="B11" s="39" t="s">
        <v>112</v>
      </c>
      <c r="C11" s="16"/>
      <c r="D11" s="16"/>
      <c r="E11" s="56">
        <v>13</v>
      </c>
      <c r="F11" s="22"/>
      <c r="G11" s="22" t="s">
        <v>46</v>
      </c>
      <c r="H11" s="22">
        <v>1</v>
      </c>
      <c r="I11" s="22">
        <v>10</v>
      </c>
      <c r="J11" s="16">
        <f>0.0026-0.00047</f>
        <v>0.00213</v>
      </c>
      <c r="K11" s="70">
        <f>E11*H11*I11*J11</f>
        <v>0.2769</v>
      </c>
    </row>
    <row r="12" spans="2:11" ht="12.75">
      <c r="B12" s="39" t="s">
        <v>5</v>
      </c>
      <c r="C12" s="16"/>
      <c r="D12" s="16"/>
      <c r="E12" s="43"/>
      <c r="F12" s="16"/>
      <c r="G12" s="16"/>
      <c r="H12" s="16"/>
      <c r="I12" s="16"/>
      <c r="J12" s="16"/>
      <c r="K12" s="78"/>
    </row>
    <row r="13" spans="2:11" ht="12.75">
      <c r="B13" s="39" t="s">
        <v>108</v>
      </c>
      <c r="C13" s="16"/>
      <c r="D13" s="16"/>
      <c r="E13" s="56">
        <v>5</v>
      </c>
      <c r="F13" s="16"/>
      <c r="G13" s="22" t="s">
        <v>48</v>
      </c>
      <c r="H13" s="22">
        <v>1</v>
      </c>
      <c r="I13" s="22">
        <v>4</v>
      </c>
      <c r="J13" s="16">
        <f>0.0206-0.00047</f>
        <v>0.02013</v>
      </c>
      <c r="K13" s="70">
        <f>E13*H13*I13*J13</f>
        <v>0.40259999999999996</v>
      </c>
    </row>
    <row r="14" spans="2:11" ht="12.75">
      <c r="B14" s="39"/>
      <c r="C14" s="16"/>
      <c r="D14" s="16"/>
      <c r="E14" s="43"/>
      <c r="F14" s="16"/>
      <c r="G14" s="16"/>
      <c r="H14" s="16"/>
      <c r="I14" s="16"/>
      <c r="J14" s="16"/>
      <c r="K14" s="78"/>
    </row>
    <row r="15" spans="2:11" ht="12.75">
      <c r="B15" s="39" t="s">
        <v>47</v>
      </c>
      <c r="C15" s="16"/>
      <c r="D15" s="16"/>
      <c r="E15" s="56">
        <v>33</v>
      </c>
      <c r="F15" s="22"/>
      <c r="G15" s="22" t="s">
        <v>48</v>
      </c>
      <c r="H15" s="22">
        <v>1</v>
      </c>
      <c r="I15" s="22">
        <v>30</v>
      </c>
      <c r="J15" s="16">
        <f>0.0206-0.00047</f>
        <v>0.02013</v>
      </c>
      <c r="K15" s="70">
        <f>E15*H15*I15*J15</f>
        <v>19.9287</v>
      </c>
    </row>
    <row r="16" spans="2:11" ht="12.75">
      <c r="B16" s="39" t="s">
        <v>5</v>
      </c>
      <c r="C16" s="16"/>
      <c r="D16" s="16"/>
      <c r="E16" s="43"/>
      <c r="F16" s="16"/>
      <c r="G16" s="16"/>
      <c r="H16" s="16"/>
      <c r="I16" s="16"/>
      <c r="J16" s="16"/>
      <c r="K16" s="78"/>
    </row>
    <row r="17" spans="1:11" ht="12.75">
      <c r="A17" s="335" t="s">
        <v>206</v>
      </c>
      <c r="B17" s="39" t="s">
        <v>163</v>
      </c>
      <c r="C17" s="16"/>
      <c r="D17" s="16"/>
      <c r="E17" s="56">
        <v>8</v>
      </c>
      <c r="F17" s="22"/>
      <c r="G17" s="22" t="s">
        <v>48</v>
      </c>
      <c r="H17" s="22">
        <v>1</v>
      </c>
      <c r="I17" s="22">
        <v>10</v>
      </c>
      <c r="J17" s="16">
        <f>0.0206-0.00047</f>
        <v>0.02013</v>
      </c>
      <c r="K17" s="70">
        <f>E17*H17*I17*J17</f>
        <v>1.6103999999999998</v>
      </c>
    </row>
    <row r="18" spans="1:11" ht="13.5" thickBot="1">
      <c r="A18" s="335"/>
      <c r="B18" s="39"/>
      <c r="C18" s="16"/>
      <c r="D18" s="16"/>
      <c r="E18" s="43"/>
      <c r="F18" s="16"/>
      <c r="G18" s="16"/>
      <c r="H18" s="16"/>
      <c r="I18" s="16"/>
      <c r="J18" s="16"/>
      <c r="K18" s="78"/>
    </row>
    <row r="19" spans="1:11" ht="18.75" customHeight="1" thickBot="1">
      <c r="A19" s="335"/>
      <c r="B19" s="1" t="s">
        <v>4</v>
      </c>
      <c r="C19" s="2"/>
      <c r="D19" s="2"/>
      <c r="E19" s="5">
        <f>SUM(E7:E18)</f>
        <v>184</v>
      </c>
      <c r="F19" s="2"/>
      <c r="G19" s="2"/>
      <c r="H19" s="2"/>
      <c r="I19" s="2"/>
      <c r="J19" s="2"/>
      <c r="K19" s="60">
        <f>SUM(K7:K18)</f>
        <v>23.781899999999997</v>
      </c>
    </row>
    <row r="21" ht="12.75">
      <c r="B21" s="10" t="s">
        <v>132</v>
      </c>
    </row>
    <row r="22" spans="2:3" ht="12.75">
      <c r="B22" s="10" t="s">
        <v>125</v>
      </c>
      <c r="C22" s="10"/>
    </row>
    <row r="23" spans="2:3" ht="12.75">
      <c r="B23" s="10" t="s">
        <v>67</v>
      </c>
      <c r="C23" s="10"/>
    </row>
    <row r="24" spans="2:3" ht="12.75">
      <c r="B24" s="10" t="s">
        <v>68</v>
      </c>
      <c r="C24" s="10"/>
    </row>
    <row r="25" spans="2:3" ht="12.75">
      <c r="B25" s="10" t="s">
        <v>126</v>
      </c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ht="12.75">
      <c r="B29" s="10"/>
    </row>
    <row r="30" ht="12.75">
      <c r="B30" s="10"/>
    </row>
    <row r="33" spans="2:11" ht="12.75">
      <c r="B33" s="10"/>
      <c r="K33" s="53"/>
    </row>
  </sheetData>
  <sheetProtection/>
  <mergeCells count="4">
    <mergeCell ref="B1:K1"/>
    <mergeCell ref="B2:K2"/>
    <mergeCell ref="A17:A19"/>
    <mergeCell ref="B4:C4"/>
  </mergeCells>
  <printOptions/>
  <pageMargins left="0.75" right="1" top="0.75" bottom="1" header="0.5" footer="0.5"/>
  <pageSetup horizontalDpi="300" verticalDpi="300" orientation="landscape" r:id="rId1"/>
  <headerFooter alignWithMargins="0">
    <oddHeader>&amp;C&amp;"Arial,Bold"&amp;12Table C-17</oddHeader>
    <oddFooter>&amp;L&amp;8M:\Dbs\2440 Shell\&amp;F:&amp;A&amp;R&amp;8&amp;D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B34" sqref="B34"/>
    </sheetView>
  </sheetViews>
  <sheetFormatPr defaultColWidth="9.140625" defaultRowHeight="12.75"/>
  <cols>
    <col min="1" max="1" width="7.7109375" style="0" customWidth="1"/>
    <col min="2" max="2" width="62.28125" style="0" customWidth="1"/>
    <col min="3" max="3" width="13.8515625" style="0" customWidth="1"/>
    <col min="4" max="4" width="6.00390625" style="0" customWidth="1"/>
    <col min="5" max="5" width="1.7109375" style="0" customWidth="1"/>
  </cols>
  <sheetData>
    <row r="1" spans="1:5" ht="12.75">
      <c r="A1" s="253" t="s">
        <v>219</v>
      </c>
      <c r="B1" s="253"/>
      <c r="C1" s="253"/>
      <c r="D1" s="253"/>
      <c r="E1" s="253"/>
    </row>
    <row r="2" spans="1:5" ht="12.75">
      <c r="A2" s="253" t="s">
        <v>220</v>
      </c>
      <c r="B2" s="253"/>
      <c r="C2" s="253"/>
      <c r="D2" s="253"/>
      <c r="E2" s="253"/>
    </row>
    <row r="3" spans="1:5" ht="12.75">
      <c r="A3" s="253" t="s">
        <v>221</v>
      </c>
      <c r="B3" s="253"/>
      <c r="C3" s="253"/>
      <c r="D3" s="253"/>
      <c r="E3" s="253"/>
    </row>
    <row r="4" spans="1:5" ht="12.75">
      <c r="A4" s="253"/>
      <c r="B4" s="253"/>
      <c r="C4" s="253"/>
      <c r="D4" s="253"/>
      <c r="E4" s="253"/>
    </row>
    <row r="5" spans="1:5" ht="12.75">
      <c r="A5" s="253" t="s">
        <v>222</v>
      </c>
      <c r="B5" s="253"/>
      <c r="C5" s="253"/>
      <c r="D5" s="253"/>
      <c r="E5" s="253"/>
    </row>
    <row r="6" spans="1:5" ht="12.75">
      <c r="A6" s="253" t="s">
        <v>223</v>
      </c>
      <c r="B6" s="253"/>
      <c r="C6" s="253"/>
      <c r="D6" s="253"/>
      <c r="E6" s="253"/>
    </row>
    <row r="8" spans="1:4" ht="12.75">
      <c r="A8" s="249" t="s">
        <v>224</v>
      </c>
      <c r="D8" s="248" t="s">
        <v>225</v>
      </c>
    </row>
    <row r="9" spans="1:4" ht="12.75">
      <c r="A9" s="249"/>
      <c r="D9" s="248"/>
    </row>
    <row r="10" spans="1:4" ht="12.75">
      <c r="A10" s="250" t="s">
        <v>190</v>
      </c>
      <c r="B10" s="141" t="s">
        <v>226</v>
      </c>
      <c r="D10" s="251" t="s">
        <v>190</v>
      </c>
    </row>
    <row r="11" spans="1:4" ht="12.75">
      <c r="A11" s="250" t="s">
        <v>191</v>
      </c>
      <c r="B11" s="141" t="s">
        <v>227</v>
      </c>
      <c r="D11" s="251" t="s">
        <v>191</v>
      </c>
    </row>
    <row r="12" spans="1:4" ht="12.75">
      <c r="A12" s="250" t="s">
        <v>192</v>
      </c>
      <c r="B12" s="141" t="s">
        <v>234</v>
      </c>
      <c r="D12" s="251" t="s">
        <v>192</v>
      </c>
    </row>
    <row r="13" spans="1:4" ht="12.75">
      <c r="A13" s="250" t="s">
        <v>193</v>
      </c>
      <c r="B13" s="141" t="s">
        <v>228</v>
      </c>
      <c r="D13" s="251" t="s">
        <v>193</v>
      </c>
    </row>
    <row r="14" spans="1:4" ht="12.75">
      <c r="A14" s="250" t="s">
        <v>194</v>
      </c>
      <c r="B14" s="141" t="s">
        <v>235</v>
      </c>
      <c r="D14" s="251" t="s">
        <v>194</v>
      </c>
    </row>
    <row r="15" spans="1:4" ht="12.75">
      <c r="A15" s="250" t="s">
        <v>195</v>
      </c>
      <c r="B15" s="141" t="s">
        <v>236</v>
      </c>
      <c r="D15" s="251" t="s">
        <v>195</v>
      </c>
    </row>
    <row r="16" spans="1:4" ht="12.75">
      <c r="A16" s="250" t="s">
        <v>196</v>
      </c>
      <c r="B16" s="141" t="s">
        <v>229</v>
      </c>
      <c r="D16" s="251" t="s">
        <v>196</v>
      </c>
    </row>
    <row r="17" spans="1:4" ht="12.75">
      <c r="A17" s="250" t="s">
        <v>197</v>
      </c>
      <c r="B17" s="141" t="s">
        <v>237</v>
      </c>
      <c r="D17" s="251" t="s">
        <v>197</v>
      </c>
    </row>
    <row r="18" spans="1:4" ht="12.75">
      <c r="A18" s="250" t="s">
        <v>198</v>
      </c>
      <c r="B18" s="141" t="s">
        <v>230</v>
      </c>
      <c r="D18" s="251" t="s">
        <v>198</v>
      </c>
    </row>
    <row r="19" spans="1:4" ht="12.75">
      <c r="A19" s="250" t="s">
        <v>199</v>
      </c>
      <c r="B19" s="141" t="s">
        <v>238</v>
      </c>
      <c r="D19" s="251" t="s">
        <v>199</v>
      </c>
    </row>
    <row r="20" spans="1:4" ht="12.75">
      <c r="A20" s="250" t="s">
        <v>200</v>
      </c>
      <c r="B20" s="141" t="s">
        <v>239</v>
      </c>
      <c r="D20" s="251" t="s">
        <v>200</v>
      </c>
    </row>
    <row r="21" spans="1:4" ht="12.75">
      <c r="A21" s="250" t="s">
        <v>201</v>
      </c>
      <c r="B21" s="141" t="s">
        <v>231</v>
      </c>
      <c r="D21" s="251" t="s">
        <v>201</v>
      </c>
    </row>
    <row r="22" spans="1:4" ht="12.75">
      <c r="A22" s="250" t="s">
        <v>202</v>
      </c>
      <c r="B22" s="141" t="s">
        <v>240</v>
      </c>
      <c r="D22" s="251" t="s">
        <v>202</v>
      </c>
    </row>
    <row r="23" spans="1:4" ht="12.75">
      <c r="A23" s="250" t="s">
        <v>203</v>
      </c>
      <c r="B23" s="141" t="s">
        <v>232</v>
      </c>
      <c r="D23" s="251" t="s">
        <v>203</v>
      </c>
    </row>
    <row r="24" spans="1:4" ht="12.75">
      <c r="A24" s="250" t="s">
        <v>204</v>
      </c>
      <c r="B24" s="141" t="s">
        <v>241</v>
      </c>
      <c r="D24" s="251" t="s">
        <v>204</v>
      </c>
    </row>
    <row r="25" spans="1:4" ht="12.75">
      <c r="A25" s="250" t="s">
        <v>205</v>
      </c>
      <c r="B25" s="141" t="s">
        <v>242</v>
      </c>
      <c r="D25" s="251" t="s">
        <v>205</v>
      </c>
    </row>
    <row r="26" spans="1:4" ht="26.25">
      <c r="A26" s="250" t="s">
        <v>206</v>
      </c>
      <c r="B26" s="252" t="s">
        <v>243</v>
      </c>
      <c r="D26" s="251" t="s">
        <v>206</v>
      </c>
    </row>
    <row r="27" spans="1:4" ht="26.25">
      <c r="A27" s="250" t="s">
        <v>207</v>
      </c>
      <c r="B27" s="252" t="s">
        <v>244</v>
      </c>
      <c r="D27" s="251" t="s">
        <v>207</v>
      </c>
    </row>
    <row r="28" spans="1:4" ht="26.25">
      <c r="A28" s="250" t="s">
        <v>208</v>
      </c>
      <c r="B28" s="252" t="s">
        <v>245</v>
      </c>
      <c r="D28" s="251" t="s">
        <v>208</v>
      </c>
    </row>
    <row r="29" spans="1:4" ht="26.25">
      <c r="A29" s="250" t="s">
        <v>209</v>
      </c>
      <c r="B29" s="252" t="s">
        <v>246</v>
      </c>
      <c r="D29" s="251" t="s">
        <v>209</v>
      </c>
    </row>
    <row r="30" spans="1:4" ht="26.25">
      <c r="A30" s="250" t="s">
        <v>210</v>
      </c>
      <c r="B30" s="252" t="s">
        <v>247</v>
      </c>
      <c r="D30" s="251" t="s">
        <v>210</v>
      </c>
    </row>
    <row r="31" spans="1:4" ht="12.75">
      <c r="A31" s="250" t="s">
        <v>211</v>
      </c>
      <c r="B31" s="141" t="s">
        <v>113</v>
      </c>
      <c r="D31" s="251" t="s">
        <v>211</v>
      </c>
    </row>
    <row r="32" spans="1:4" ht="12.75">
      <c r="A32" s="250" t="s">
        <v>212</v>
      </c>
      <c r="B32" s="141" t="s">
        <v>233</v>
      </c>
      <c r="D32" s="251" t="s">
        <v>212</v>
      </c>
    </row>
  </sheetData>
  <sheetProtection/>
  <mergeCells count="6">
    <mergeCell ref="A5:E5"/>
    <mergeCell ref="A6:E6"/>
    <mergeCell ref="A1:E1"/>
    <mergeCell ref="A2:E2"/>
    <mergeCell ref="A3:E3"/>
    <mergeCell ref="A4:E4"/>
  </mergeCells>
  <printOptions/>
  <pageMargins left="0.75" right="0.7" top="1" bottom="1" header="0.5" footer="0.5"/>
  <pageSetup horizontalDpi="600" verticalDpi="600" orientation="portrait" r:id="rId2"/>
  <headerFooter alignWithMargins="0">
    <oddFooter>&amp;C&amp;"Arial,Bold"C-i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K33"/>
  <sheetViews>
    <sheetView zoomScale="85" zoomScaleNormal="85" zoomScalePageLayoutView="0" workbookViewId="0" topLeftCell="A1">
      <selection activeCell="A17" sqref="A17:A19"/>
    </sheetView>
  </sheetViews>
  <sheetFormatPr defaultColWidth="9.140625" defaultRowHeight="12.75"/>
  <cols>
    <col min="1" max="1" width="12.8515625" style="0" customWidth="1"/>
    <col min="3" max="3" width="15.421875" style="0" customWidth="1"/>
    <col min="12" max="12" width="8.421875" style="0" customWidth="1"/>
  </cols>
  <sheetData>
    <row r="1" spans="2:11" ht="15">
      <c r="B1" s="334" t="s">
        <v>36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ht="15">
      <c r="B2" s="334" t="s">
        <v>181</v>
      </c>
      <c r="C2" s="334"/>
      <c r="D2" s="334"/>
      <c r="E2" s="334"/>
      <c r="F2" s="334"/>
      <c r="G2" s="334"/>
      <c r="H2" s="334"/>
      <c r="I2" s="334"/>
      <c r="J2" s="334"/>
      <c r="K2" s="334"/>
    </row>
    <row r="3" ht="13.5" thickBot="1"/>
    <row r="4" spans="2:11" ht="46.5" customHeight="1" thickBot="1">
      <c r="B4" s="274" t="s">
        <v>37</v>
      </c>
      <c r="C4" s="275"/>
      <c r="D4" s="2"/>
      <c r="E4" s="5" t="s">
        <v>38</v>
      </c>
      <c r="F4" s="6"/>
      <c r="G4" s="6" t="s">
        <v>39</v>
      </c>
      <c r="H4" s="49" t="s">
        <v>40</v>
      </c>
      <c r="I4" s="49" t="s">
        <v>41</v>
      </c>
      <c r="J4" s="48" t="s">
        <v>42</v>
      </c>
      <c r="K4" s="29" t="s">
        <v>43</v>
      </c>
    </row>
    <row r="5" spans="2:11" ht="12.75">
      <c r="B5" s="36"/>
      <c r="C5" s="16"/>
      <c r="D5" s="16"/>
      <c r="E5" s="43"/>
      <c r="F5" s="16"/>
      <c r="G5" s="16"/>
      <c r="H5" s="16"/>
      <c r="I5" s="16"/>
      <c r="J5" s="16"/>
      <c r="K5" s="54"/>
    </row>
    <row r="6" spans="2:11" ht="12.75">
      <c r="B6" s="39" t="s">
        <v>44</v>
      </c>
      <c r="C6" s="16"/>
      <c r="D6" s="16"/>
      <c r="E6" s="43"/>
      <c r="F6" s="16"/>
      <c r="G6" s="16"/>
      <c r="H6" s="16"/>
      <c r="I6" s="16"/>
      <c r="J6" s="16"/>
      <c r="K6" s="55"/>
    </row>
    <row r="7" spans="2:11" ht="12.75">
      <c r="B7" s="39" t="s">
        <v>45</v>
      </c>
      <c r="C7" s="16"/>
      <c r="E7" s="227">
        <v>395</v>
      </c>
      <c r="F7" s="22"/>
      <c r="G7" s="22" t="s">
        <v>46</v>
      </c>
      <c r="H7" s="22">
        <v>2</v>
      </c>
      <c r="I7" s="22">
        <v>16.2</v>
      </c>
      <c r="J7" s="16">
        <f>0.000856-0.00047</f>
        <v>0.000386</v>
      </c>
      <c r="K7" s="70">
        <f>E7*H7*I7*J7</f>
        <v>4.940028</v>
      </c>
    </row>
    <row r="8" spans="2:11" ht="12.75">
      <c r="B8" s="39" t="s">
        <v>5</v>
      </c>
      <c r="C8" s="16"/>
      <c r="D8" s="16"/>
      <c r="E8" s="43"/>
      <c r="F8" s="16"/>
      <c r="G8" s="16"/>
      <c r="H8" s="16"/>
      <c r="I8" s="16"/>
      <c r="J8" s="16"/>
      <c r="K8" s="78"/>
    </row>
    <row r="9" spans="2:11" ht="12.75">
      <c r="B9" s="39" t="s">
        <v>111</v>
      </c>
      <c r="C9" s="16"/>
      <c r="D9" s="16"/>
      <c r="E9" s="56">
        <v>0</v>
      </c>
      <c r="F9" s="16"/>
      <c r="G9" s="22" t="s">
        <v>46</v>
      </c>
      <c r="H9" s="22">
        <v>1</v>
      </c>
      <c r="I9" s="22">
        <v>2.5</v>
      </c>
      <c r="J9" s="16">
        <f>0.000856-0.00047</f>
        <v>0.000386</v>
      </c>
      <c r="K9" s="70">
        <f>E9*H9*I9*J9</f>
        <v>0</v>
      </c>
    </row>
    <row r="10" spans="2:11" ht="12.75">
      <c r="B10" s="39"/>
      <c r="C10" s="16"/>
      <c r="D10" s="16"/>
      <c r="E10" s="43"/>
      <c r="F10" s="16"/>
      <c r="G10" s="16"/>
      <c r="H10" s="16"/>
      <c r="I10" s="16"/>
      <c r="J10" s="16"/>
      <c r="K10" s="78"/>
    </row>
    <row r="11" spans="2:11" ht="12.75">
      <c r="B11" s="39" t="s">
        <v>112</v>
      </c>
      <c r="C11" s="16"/>
      <c r="D11" s="16"/>
      <c r="E11" s="56">
        <v>27</v>
      </c>
      <c r="F11" s="22"/>
      <c r="G11" s="22" t="s">
        <v>46</v>
      </c>
      <c r="H11" s="22">
        <v>1</v>
      </c>
      <c r="I11" s="22">
        <v>10</v>
      </c>
      <c r="J11" s="16">
        <f>0.0026-0.00047</f>
        <v>0.00213</v>
      </c>
      <c r="K11" s="70">
        <f>E11*H11*I11*J11</f>
        <v>0.5751</v>
      </c>
    </row>
    <row r="12" spans="2:11" ht="12.75">
      <c r="B12" s="39" t="s">
        <v>5</v>
      </c>
      <c r="C12" s="16"/>
      <c r="D12" s="16"/>
      <c r="E12" s="43"/>
      <c r="F12" s="16"/>
      <c r="G12" s="16"/>
      <c r="H12" s="16"/>
      <c r="I12" s="16"/>
      <c r="J12" s="16"/>
      <c r="K12" s="78"/>
    </row>
    <row r="13" spans="2:11" ht="12.75">
      <c r="B13" s="39" t="s">
        <v>108</v>
      </c>
      <c r="C13" s="16"/>
      <c r="D13" s="16"/>
      <c r="E13" s="56">
        <v>9</v>
      </c>
      <c r="F13" s="16"/>
      <c r="G13" s="22" t="s">
        <v>48</v>
      </c>
      <c r="H13" s="22">
        <v>1</v>
      </c>
      <c r="I13" s="22">
        <v>4</v>
      </c>
      <c r="J13" s="16">
        <f>0.0206-0.00047</f>
        <v>0.02013</v>
      </c>
      <c r="K13" s="70">
        <f>E13*H13*I13*J13</f>
        <v>0.72468</v>
      </c>
    </row>
    <row r="14" spans="2:11" ht="12.75">
      <c r="B14" s="39"/>
      <c r="C14" s="16"/>
      <c r="D14" s="16"/>
      <c r="E14" s="43"/>
      <c r="F14" s="16"/>
      <c r="G14" s="16"/>
      <c r="H14" s="16"/>
      <c r="I14" s="16"/>
      <c r="J14" s="16"/>
      <c r="K14" s="78"/>
    </row>
    <row r="15" spans="2:11" ht="12.75">
      <c r="B15" s="39" t="s">
        <v>47</v>
      </c>
      <c r="C15" s="16"/>
      <c r="D15" s="16"/>
      <c r="E15" s="56">
        <v>73</v>
      </c>
      <c r="F15" s="22"/>
      <c r="G15" s="22" t="s">
        <v>48</v>
      </c>
      <c r="H15" s="22">
        <v>1</v>
      </c>
      <c r="I15" s="22">
        <v>30</v>
      </c>
      <c r="J15" s="16">
        <f>0.0206-0.00047</f>
        <v>0.02013</v>
      </c>
      <c r="K15" s="70">
        <f>E15*H15*I15*J15</f>
        <v>44.0847</v>
      </c>
    </row>
    <row r="16" spans="2:11" ht="12.75">
      <c r="B16" s="39" t="s">
        <v>5</v>
      </c>
      <c r="C16" s="16"/>
      <c r="D16" s="16"/>
      <c r="E16" s="43"/>
      <c r="F16" s="16"/>
      <c r="G16" s="16"/>
      <c r="H16" s="16"/>
      <c r="I16" s="16"/>
      <c r="J16" s="16"/>
      <c r="K16" s="78"/>
    </row>
    <row r="17" spans="1:11" ht="12.75">
      <c r="A17" s="336" t="s">
        <v>207</v>
      </c>
      <c r="B17" s="39" t="s">
        <v>163</v>
      </c>
      <c r="C17" s="16"/>
      <c r="D17" s="16"/>
      <c r="E17" s="56">
        <v>18</v>
      </c>
      <c r="F17" s="22"/>
      <c r="G17" s="22" t="s">
        <v>48</v>
      </c>
      <c r="H17" s="22">
        <v>1</v>
      </c>
      <c r="I17" s="22">
        <v>10</v>
      </c>
      <c r="J17" s="16">
        <f>0.0206-0.00047</f>
        <v>0.02013</v>
      </c>
      <c r="K17" s="70">
        <f>E17*H17*I17*J17</f>
        <v>3.6233999999999997</v>
      </c>
    </row>
    <row r="18" spans="1:11" ht="13.5" thickBot="1">
      <c r="A18" s="336"/>
      <c r="B18" s="39"/>
      <c r="C18" s="16"/>
      <c r="D18" s="16"/>
      <c r="E18" s="43"/>
      <c r="F18" s="16"/>
      <c r="G18" s="16"/>
      <c r="H18" s="16"/>
      <c r="I18" s="16"/>
      <c r="J18" s="16"/>
      <c r="K18" s="78"/>
    </row>
    <row r="19" spans="1:11" ht="18.75" customHeight="1" thickBot="1">
      <c r="A19" s="336"/>
      <c r="B19" s="1" t="s">
        <v>4</v>
      </c>
      <c r="C19" s="2"/>
      <c r="D19" s="2"/>
      <c r="E19" s="5">
        <f>SUM(E7:E18)</f>
        <v>522</v>
      </c>
      <c r="F19" s="2"/>
      <c r="G19" s="2"/>
      <c r="H19" s="2"/>
      <c r="I19" s="2"/>
      <c r="J19" s="2"/>
      <c r="K19" s="60">
        <f>SUM(K7:K18)</f>
        <v>53.94790799999999</v>
      </c>
    </row>
    <row r="21" ht="12.75">
      <c r="B21" s="10" t="s">
        <v>132</v>
      </c>
    </row>
    <row r="22" spans="2:3" ht="12.75">
      <c r="B22" s="10" t="s">
        <v>125</v>
      </c>
      <c r="C22" s="10"/>
    </row>
    <row r="23" spans="2:3" ht="12.75">
      <c r="B23" s="10" t="s">
        <v>67</v>
      </c>
      <c r="C23" s="10"/>
    </row>
    <row r="24" spans="2:3" ht="12.75">
      <c r="B24" s="10" t="s">
        <v>68</v>
      </c>
      <c r="C24" s="10"/>
    </row>
    <row r="25" spans="2:3" ht="12.75">
      <c r="B25" s="10" t="s">
        <v>126</v>
      </c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ht="12.75">
      <c r="B29" s="10"/>
    </row>
    <row r="30" ht="12.75">
      <c r="B30" s="10"/>
    </row>
    <row r="33" spans="2:11" ht="12.75">
      <c r="B33" s="10"/>
      <c r="K33" s="53"/>
    </row>
  </sheetData>
  <sheetProtection/>
  <mergeCells count="4">
    <mergeCell ref="B1:K1"/>
    <mergeCell ref="A17:A19"/>
    <mergeCell ref="B4:C4"/>
    <mergeCell ref="B2:K2"/>
  </mergeCells>
  <printOptions/>
  <pageMargins left="0.75" right="0.75" top="0.75" bottom="1" header="0.5" footer="0.5"/>
  <pageSetup horizontalDpi="300" verticalDpi="300" orientation="landscape" r:id="rId1"/>
  <headerFooter alignWithMargins="0">
    <oddHeader>&amp;C&amp;"Arial,Bold"&amp;12Table C-18</oddHeader>
    <oddFooter>&amp;L&amp;8M:\Dbs\2440 Shell\&amp;F:&amp;A&amp;R&amp;8&amp;D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K33"/>
  <sheetViews>
    <sheetView zoomScale="85" zoomScaleNormal="85" zoomScalePageLayoutView="0" workbookViewId="0" topLeftCell="A1">
      <selection activeCell="A17" sqref="A17:A19"/>
    </sheetView>
  </sheetViews>
  <sheetFormatPr defaultColWidth="9.140625" defaultRowHeight="12.75"/>
  <cols>
    <col min="1" max="1" width="12.8515625" style="0" customWidth="1"/>
    <col min="3" max="3" width="15.421875" style="0" customWidth="1"/>
    <col min="12" max="12" width="8.421875" style="0" customWidth="1"/>
  </cols>
  <sheetData>
    <row r="1" spans="2:11" ht="15">
      <c r="B1" s="334" t="s">
        <v>36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ht="15">
      <c r="B2" s="334" t="s">
        <v>182</v>
      </c>
      <c r="C2" s="334"/>
      <c r="D2" s="334"/>
      <c r="E2" s="334"/>
      <c r="F2" s="334"/>
      <c r="G2" s="334"/>
      <c r="H2" s="334"/>
      <c r="I2" s="334"/>
      <c r="J2" s="334"/>
      <c r="K2" s="334"/>
    </row>
    <row r="3" ht="13.5" thickBot="1"/>
    <row r="4" spans="2:11" ht="46.5" customHeight="1" thickBot="1">
      <c r="B4" s="274" t="s">
        <v>37</v>
      </c>
      <c r="C4" s="275"/>
      <c r="D4" s="2"/>
      <c r="E4" s="5" t="s">
        <v>38</v>
      </c>
      <c r="F4" s="6"/>
      <c r="G4" s="6" t="s">
        <v>39</v>
      </c>
      <c r="H4" s="49" t="s">
        <v>40</v>
      </c>
      <c r="I4" s="49" t="s">
        <v>41</v>
      </c>
      <c r="J4" s="48" t="s">
        <v>42</v>
      </c>
      <c r="K4" s="29" t="s">
        <v>43</v>
      </c>
    </row>
    <row r="5" spans="2:11" ht="12.75">
      <c r="B5" s="36"/>
      <c r="C5" s="16"/>
      <c r="D5" s="16"/>
      <c r="E5" s="43"/>
      <c r="F5" s="16"/>
      <c r="G5" s="16"/>
      <c r="H5" s="16"/>
      <c r="I5" s="16"/>
      <c r="J5" s="16"/>
      <c r="K5" s="54"/>
    </row>
    <row r="6" spans="2:11" ht="12.75">
      <c r="B6" s="39" t="s">
        <v>44</v>
      </c>
      <c r="C6" s="16"/>
      <c r="D6" s="16"/>
      <c r="E6" s="43"/>
      <c r="F6" s="16"/>
      <c r="G6" s="16"/>
      <c r="H6" s="16"/>
      <c r="I6" s="16"/>
      <c r="J6" s="16"/>
      <c r="K6" s="55"/>
    </row>
    <row r="7" spans="2:11" ht="12.75">
      <c r="B7" s="39" t="s">
        <v>45</v>
      </c>
      <c r="C7" s="16"/>
      <c r="E7" s="227">
        <v>625</v>
      </c>
      <c r="F7" s="22"/>
      <c r="G7" s="22" t="s">
        <v>46</v>
      </c>
      <c r="H7" s="22">
        <v>2</v>
      </c>
      <c r="I7" s="22">
        <v>16.2</v>
      </c>
      <c r="J7" s="16">
        <f>0.000856-0.00047</f>
        <v>0.000386</v>
      </c>
      <c r="K7" s="70">
        <f>E7*H7*I7*J7</f>
        <v>7.8165000000000004</v>
      </c>
    </row>
    <row r="8" spans="2:11" ht="12.75">
      <c r="B8" s="39" t="s">
        <v>5</v>
      </c>
      <c r="C8" s="16"/>
      <c r="D8" s="16"/>
      <c r="E8" s="43"/>
      <c r="F8" s="16"/>
      <c r="G8" s="16"/>
      <c r="H8" s="16"/>
      <c r="I8" s="16"/>
      <c r="J8" s="16"/>
      <c r="K8" s="78"/>
    </row>
    <row r="9" spans="2:11" ht="12.75">
      <c r="B9" s="39" t="s">
        <v>111</v>
      </c>
      <c r="C9" s="16"/>
      <c r="D9" s="16"/>
      <c r="E9" s="56">
        <v>0</v>
      </c>
      <c r="F9" s="16"/>
      <c r="G9" s="22" t="s">
        <v>46</v>
      </c>
      <c r="H9" s="22">
        <v>1</v>
      </c>
      <c r="I9" s="22">
        <v>2.5</v>
      </c>
      <c r="J9" s="16">
        <f>0.000856-0.00047</f>
        <v>0.000386</v>
      </c>
      <c r="K9" s="70">
        <f>E9*H9*I9*J9</f>
        <v>0</v>
      </c>
    </row>
    <row r="10" spans="2:11" ht="12.75">
      <c r="B10" s="39"/>
      <c r="C10" s="16"/>
      <c r="D10" s="16"/>
      <c r="E10" s="43"/>
      <c r="F10" s="16"/>
      <c r="G10" s="16"/>
      <c r="H10" s="16"/>
      <c r="I10" s="16"/>
      <c r="J10" s="16"/>
      <c r="K10" s="78"/>
    </row>
    <row r="11" spans="2:11" ht="12.75">
      <c r="B11" s="39" t="s">
        <v>112</v>
      </c>
      <c r="C11" s="16"/>
      <c r="D11" s="16"/>
      <c r="E11" s="56">
        <v>35</v>
      </c>
      <c r="F11" s="22"/>
      <c r="G11" s="22" t="s">
        <v>46</v>
      </c>
      <c r="H11" s="22">
        <v>1</v>
      </c>
      <c r="I11" s="22">
        <v>10</v>
      </c>
      <c r="J11" s="16">
        <f>0.0026-0.00047</f>
        <v>0.00213</v>
      </c>
      <c r="K11" s="70">
        <f>E11*H11*I11*J11</f>
        <v>0.7454999999999999</v>
      </c>
    </row>
    <row r="12" spans="2:11" ht="12.75">
      <c r="B12" s="39" t="s">
        <v>5</v>
      </c>
      <c r="C12" s="16"/>
      <c r="D12" s="16"/>
      <c r="E12" s="43"/>
      <c r="F12" s="16"/>
      <c r="G12" s="16"/>
      <c r="H12" s="16"/>
      <c r="I12" s="16"/>
      <c r="J12" s="16"/>
      <c r="K12" s="78"/>
    </row>
    <row r="13" spans="2:11" ht="12.75">
      <c r="B13" s="39" t="s">
        <v>108</v>
      </c>
      <c r="C13" s="16"/>
      <c r="D13" s="16"/>
      <c r="E13" s="56">
        <v>10</v>
      </c>
      <c r="F13" s="16"/>
      <c r="G13" s="22" t="s">
        <v>48</v>
      </c>
      <c r="H13" s="22">
        <v>1</v>
      </c>
      <c r="I13" s="22">
        <v>4</v>
      </c>
      <c r="J13" s="16">
        <f>0.0206-0.00047</f>
        <v>0.02013</v>
      </c>
      <c r="K13" s="70">
        <f>E13*H13*I13*J13</f>
        <v>0.8051999999999999</v>
      </c>
    </row>
    <row r="14" spans="2:11" ht="12.75">
      <c r="B14" s="39"/>
      <c r="C14" s="16"/>
      <c r="D14" s="16"/>
      <c r="E14" s="43"/>
      <c r="F14" s="16"/>
      <c r="G14" s="16"/>
      <c r="H14" s="16"/>
      <c r="I14" s="16"/>
      <c r="J14" s="16"/>
      <c r="K14" s="78"/>
    </row>
    <row r="15" spans="2:11" ht="12.75">
      <c r="B15" s="39" t="s">
        <v>47</v>
      </c>
      <c r="C15" s="16"/>
      <c r="D15" s="16"/>
      <c r="E15" s="56">
        <v>89</v>
      </c>
      <c r="F15" s="22"/>
      <c r="G15" s="22" t="s">
        <v>48</v>
      </c>
      <c r="H15" s="22">
        <v>1</v>
      </c>
      <c r="I15" s="22">
        <v>30</v>
      </c>
      <c r="J15" s="16">
        <f>0.0206-0.00047</f>
        <v>0.02013</v>
      </c>
      <c r="K15" s="70">
        <f>E15*H15*I15*J15</f>
        <v>53.747099999999996</v>
      </c>
    </row>
    <row r="16" spans="2:11" ht="12.75">
      <c r="B16" s="39" t="s">
        <v>5</v>
      </c>
      <c r="C16" s="16"/>
      <c r="D16" s="16"/>
      <c r="E16" s="43"/>
      <c r="F16" s="16"/>
      <c r="G16" s="16"/>
      <c r="H16" s="16"/>
      <c r="I16" s="16"/>
      <c r="J16" s="16"/>
      <c r="K16" s="78"/>
    </row>
    <row r="17" spans="1:11" ht="12.75">
      <c r="A17" s="336" t="s">
        <v>208</v>
      </c>
      <c r="B17" s="39" t="s">
        <v>163</v>
      </c>
      <c r="C17" s="16"/>
      <c r="D17" s="16"/>
      <c r="E17" s="56">
        <v>25</v>
      </c>
      <c r="F17" s="22"/>
      <c r="G17" s="22" t="s">
        <v>48</v>
      </c>
      <c r="H17" s="22">
        <v>1</v>
      </c>
      <c r="I17" s="22">
        <v>10</v>
      </c>
      <c r="J17" s="16">
        <f>0.0206-0.00047</f>
        <v>0.02013</v>
      </c>
      <c r="K17" s="70">
        <f>E17*H17*I17*J17</f>
        <v>5.0325</v>
      </c>
    </row>
    <row r="18" spans="1:11" ht="13.5" thickBot="1">
      <c r="A18" s="336"/>
      <c r="B18" s="39"/>
      <c r="C18" s="16"/>
      <c r="D18" s="16"/>
      <c r="E18" s="43"/>
      <c r="F18" s="16"/>
      <c r="G18" s="16"/>
      <c r="H18" s="16"/>
      <c r="I18" s="16"/>
      <c r="J18" s="16"/>
      <c r="K18" s="78"/>
    </row>
    <row r="19" spans="1:11" ht="18.75" customHeight="1" thickBot="1">
      <c r="A19" s="336"/>
      <c r="B19" s="1" t="s">
        <v>4</v>
      </c>
      <c r="C19" s="2"/>
      <c r="D19" s="2"/>
      <c r="E19" s="5">
        <f>SUM(E7:E18)</f>
        <v>784</v>
      </c>
      <c r="F19" s="2"/>
      <c r="G19" s="2"/>
      <c r="H19" s="2"/>
      <c r="I19" s="2"/>
      <c r="J19" s="2"/>
      <c r="K19" s="60">
        <f>SUM(K7:K18)</f>
        <v>68.1468</v>
      </c>
    </row>
    <row r="21" ht="12.75">
      <c r="B21" s="10" t="s">
        <v>132</v>
      </c>
    </row>
    <row r="22" spans="2:3" ht="12.75">
      <c r="B22" s="10" t="s">
        <v>125</v>
      </c>
      <c r="C22" s="10"/>
    </row>
    <row r="23" spans="2:3" ht="12.75">
      <c r="B23" s="10" t="s">
        <v>67</v>
      </c>
      <c r="C23" s="10"/>
    </row>
    <row r="24" spans="2:3" ht="12.75">
      <c r="B24" s="10" t="s">
        <v>68</v>
      </c>
      <c r="C24" s="10"/>
    </row>
    <row r="25" spans="2:3" ht="12.75">
      <c r="B25" s="10" t="s">
        <v>126</v>
      </c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ht="12.75">
      <c r="B29" s="10"/>
    </row>
    <row r="30" ht="12.75">
      <c r="B30" s="10"/>
    </row>
    <row r="33" spans="2:11" ht="12.75">
      <c r="B33" s="10"/>
      <c r="K33" s="53"/>
    </row>
  </sheetData>
  <sheetProtection/>
  <mergeCells count="4">
    <mergeCell ref="B1:K1"/>
    <mergeCell ref="A17:A19"/>
    <mergeCell ref="B4:C4"/>
    <mergeCell ref="B2:K2"/>
  </mergeCells>
  <printOptions/>
  <pageMargins left="0.75" right="0.75" top="0.75" bottom="1" header="0.5" footer="0.5"/>
  <pageSetup horizontalDpi="300" verticalDpi="300" orientation="landscape" r:id="rId1"/>
  <headerFooter alignWithMargins="0">
    <oddHeader>&amp;C&amp;"Arial,Bold"&amp;12Table C-19</oddHeader>
    <oddFooter>&amp;L&amp;8M:\Dbs\2440 Shell\&amp;F:&amp;A&amp;R&amp;8&amp;D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K33"/>
  <sheetViews>
    <sheetView zoomScale="85" zoomScaleNormal="85" zoomScalePageLayoutView="0" workbookViewId="0" topLeftCell="A1">
      <selection activeCell="A17" sqref="A17:A19"/>
    </sheetView>
  </sheetViews>
  <sheetFormatPr defaultColWidth="9.140625" defaultRowHeight="12.75"/>
  <cols>
    <col min="1" max="1" width="12.8515625" style="0" customWidth="1"/>
    <col min="3" max="3" width="15.421875" style="0" customWidth="1"/>
    <col min="12" max="12" width="8.421875" style="0" customWidth="1"/>
  </cols>
  <sheetData>
    <row r="1" spans="2:11" ht="15">
      <c r="B1" s="334" t="s">
        <v>36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ht="15">
      <c r="B2" s="334" t="s">
        <v>183</v>
      </c>
      <c r="C2" s="334"/>
      <c r="D2" s="334"/>
      <c r="E2" s="334"/>
      <c r="F2" s="334"/>
      <c r="G2" s="334"/>
      <c r="H2" s="334"/>
      <c r="I2" s="334"/>
      <c r="J2" s="334"/>
      <c r="K2" s="334"/>
    </row>
    <row r="3" ht="13.5" thickBot="1"/>
    <row r="4" spans="2:11" ht="46.5" customHeight="1" thickBot="1">
      <c r="B4" s="274" t="s">
        <v>37</v>
      </c>
      <c r="C4" s="275"/>
      <c r="D4" s="2"/>
      <c r="E4" s="5" t="s">
        <v>38</v>
      </c>
      <c r="F4" s="6"/>
      <c r="G4" s="6" t="s">
        <v>39</v>
      </c>
      <c r="H4" s="49" t="s">
        <v>40</v>
      </c>
      <c r="I4" s="49" t="s">
        <v>41</v>
      </c>
      <c r="J4" s="48" t="s">
        <v>42</v>
      </c>
      <c r="K4" s="29" t="s">
        <v>43</v>
      </c>
    </row>
    <row r="5" spans="2:11" ht="12.75">
      <c r="B5" s="36"/>
      <c r="C5" s="16"/>
      <c r="D5" s="16"/>
      <c r="E5" s="43"/>
      <c r="F5" s="16"/>
      <c r="G5" s="16"/>
      <c r="H5" s="16"/>
      <c r="I5" s="16"/>
      <c r="J5" s="16"/>
      <c r="K5" s="54"/>
    </row>
    <row r="6" spans="2:11" ht="12.75">
      <c r="B6" s="39" t="s">
        <v>44</v>
      </c>
      <c r="C6" s="16"/>
      <c r="D6" s="16"/>
      <c r="E6" s="43"/>
      <c r="F6" s="16"/>
      <c r="G6" s="16"/>
      <c r="H6" s="16"/>
      <c r="I6" s="16"/>
      <c r="J6" s="16"/>
      <c r="K6" s="55"/>
    </row>
    <row r="7" spans="2:11" ht="12.75">
      <c r="B7" s="39" t="s">
        <v>45</v>
      </c>
      <c r="C7" s="16"/>
      <c r="E7" s="227">
        <v>765</v>
      </c>
      <c r="F7" s="22"/>
      <c r="G7" s="22" t="s">
        <v>46</v>
      </c>
      <c r="H7" s="22">
        <v>2</v>
      </c>
      <c r="I7" s="22">
        <v>16.2</v>
      </c>
      <c r="J7" s="16">
        <f>0.000856-0.00047</f>
        <v>0.000386</v>
      </c>
      <c r="K7" s="70">
        <f>E7*H7*I7*J7</f>
        <v>9.567396</v>
      </c>
    </row>
    <row r="8" spans="2:11" ht="12.75">
      <c r="B8" s="39" t="s">
        <v>5</v>
      </c>
      <c r="C8" s="16"/>
      <c r="D8" s="16"/>
      <c r="E8" s="43"/>
      <c r="F8" s="16"/>
      <c r="G8" s="16"/>
      <c r="H8" s="16"/>
      <c r="I8" s="16"/>
      <c r="J8" s="16"/>
      <c r="K8" s="78"/>
    </row>
    <row r="9" spans="2:11" ht="12.75">
      <c r="B9" s="39" t="s">
        <v>111</v>
      </c>
      <c r="C9" s="16"/>
      <c r="D9" s="16"/>
      <c r="E9" s="56">
        <v>0</v>
      </c>
      <c r="F9" s="16"/>
      <c r="G9" s="22" t="s">
        <v>46</v>
      </c>
      <c r="H9" s="22">
        <v>1</v>
      </c>
      <c r="I9" s="22">
        <v>2.5</v>
      </c>
      <c r="J9" s="16">
        <f>0.000856-0.00047</f>
        <v>0.000386</v>
      </c>
      <c r="K9" s="70">
        <f>E9*H9*I9*J9</f>
        <v>0</v>
      </c>
    </row>
    <row r="10" spans="2:11" ht="12.75">
      <c r="B10" s="39"/>
      <c r="C10" s="16"/>
      <c r="D10" s="16"/>
      <c r="E10" s="43"/>
      <c r="F10" s="16"/>
      <c r="G10" s="16"/>
      <c r="H10" s="16"/>
      <c r="I10" s="16"/>
      <c r="J10" s="16"/>
      <c r="K10" s="78"/>
    </row>
    <row r="11" spans="2:11" ht="12.75">
      <c r="B11" s="39" t="s">
        <v>112</v>
      </c>
      <c r="C11" s="16"/>
      <c r="D11" s="16"/>
      <c r="E11" s="56">
        <v>33</v>
      </c>
      <c r="F11" s="22"/>
      <c r="G11" s="22" t="s">
        <v>46</v>
      </c>
      <c r="H11" s="22">
        <v>1</v>
      </c>
      <c r="I11" s="22">
        <v>10</v>
      </c>
      <c r="J11" s="16">
        <f>0.0026-0.00047</f>
        <v>0.00213</v>
      </c>
      <c r="K11" s="70">
        <f>E11*H11*I11*J11</f>
        <v>0.7029</v>
      </c>
    </row>
    <row r="12" spans="2:11" ht="12.75">
      <c r="B12" s="39" t="s">
        <v>5</v>
      </c>
      <c r="C12" s="16"/>
      <c r="D12" s="16"/>
      <c r="E12" s="43"/>
      <c r="F12" s="16"/>
      <c r="G12" s="16"/>
      <c r="H12" s="16"/>
      <c r="I12" s="16"/>
      <c r="J12" s="16"/>
      <c r="K12" s="78"/>
    </row>
    <row r="13" spans="2:11" ht="12.75">
      <c r="B13" s="39" t="s">
        <v>108</v>
      </c>
      <c r="C13" s="16"/>
      <c r="D13" s="16"/>
      <c r="E13" s="56">
        <v>9</v>
      </c>
      <c r="F13" s="16"/>
      <c r="G13" s="22" t="s">
        <v>48</v>
      </c>
      <c r="H13" s="22">
        <v>1</v>
      </c>
      <c r="I13" s="22">
        <v>4</v>
      </c>
      <c r="J13" s="16">
        <f>0.0206-0.00047</f>
        <v>0.02013</v>
      </c>
      <c r="K13" s="70">
        <f>E13*H13*I13*J13</f>
        <v>0.72468</v>
      </c>
    </row>
    <row r="14" spans="2:11" ht="12.75">
      <c r="B14" s="39"/>
      <c r="C14" s="16"/>
      <c r="D14" s="16"/>
      <c r="E14" s="43"/>
      <c r="F14" s="16"/>
      <c r="G14" s="16"/>
      <c r="H14" s="16"/>
      <c r="I14" s="16"/>
      <c r="J14" s="16"/>
      <c r="K14" s="78"/>
    </row>
    <row r="15" spans="2:11" ht="12.75">
      <c r="B15" s="39" t="s">
        <v>47</v>
      </c>
      <c r="C15" s="16"/>
      <c r="D15" s="16"/>
      <c r="E15" s="56">
        <v>77</v>
      </c>
      <c r="F15" s="22"/>
      <c r="G15" s="22" t="s">
        <v>48</v>
      </c>
      <c r="H15" s="22">
        <v>1</v>
      </c>
      <c r="I15" s="22">
        <v>30</v>
      </c>
      <c r="J15" s="16">
        <f>0.0206-0.00047</f>
        <v>0.02013</v>
      </c>
      <c r="K15" s="70">
        <f>E15*H15*I15*J15</f>
        <v>46.500299999999996</v>
      </c>
    </row>
    <row r="16" spans="2:11" ht="12.75">
      <c r="B16" s="39" t="s">
        <v>5</v>
      </c>
      <c r="C16" s="16"/>
      <c r="D16" s="16"/>
      <c r="E16" s="43"/>
      <c r="F16" s="16"/>
      <c r="G16" s="16"/>
      <c r="H16" s="16"/>
      <c r="I16" s="16"/>
      <c r="J16" s="16"/>
      <c r="K16" s="78"/>
    </row>
    <row r="17" spans="1:11" ht="12.75">
      <c r="A17" s="336" t="s">
        <v>209</v>
      </c>
      <c r="B17" s="39" t="s">
        <v>163</v>
      </c>
      <c r="C17" s="16"/>
      <c r="D17" s="16"/>
      <c r="E17" s="56">
        <v>20</v>
      </c>
      <c r="F17" s="22"/>
      <c r="G17" s="22" t="s">
        <v>48</v>
      </c>
      <c r="H17" s="22">
        <v>1</v>
      </c>
      <c r="I17" s="22">
        <v>10</v>
      </c>
      <c r="J17" s="16">
        <f>0.0206-0.00047</f>
        <v>0.02013</v>
      </c>
      <c r="K17" s="70">
        <f>E17*H17*I17*J17</f>
        <v>4.026</v>
      </c>
    </row>
    <row r="18" spans="1:11" ht="13.5" thickBot="1">
      <c r="A18" s="336"/>
      <c r="B18" s="39"/>
      <c r="C18" s="16"/>
      <c r="D18" s="16"/>
      <c r="E18" s="43"/>
      <c r="F18" s="16"/>
      <c r="G18" s="16"/>
      <c r="H18" s="16"/>
      <c r="I18" s="16"/>
      <c r="J18" s="16"/>
      <c r="K18" s="78"/>
    </row>
    <row r="19" spans="1:11" ht="18.75" customHeight="1" thickBot="1">
      <c r="A19" s="336"/>
      <c r="B19" s="1" t="s">
        <v>4</v>
      </c>
      <c r="C19" s="2"/>
      <c r="D19" s="2"/>
      <c r="E19" s="5">
        <f>SUM(E7:E18)</f>
        <v>904</v>
      </c>
      <c r="F19" s="2"/>
      <c r="G19" s="2"/>
      <c r="H19" s="2"/>
      <c r="I19" s="2"/>
      <c r="J19" s="2"/>
      <c r="K19" s="60">
        <f>SUM(K7:K18)</f>
        <v>61.521276</v>
      </c>
    </row>
    <row r="21" ht="12.75">
      <c r="B21" s="10" t="s">
        <v>132</v>
      </c>
    </row>
    <row r="22" spans="2:3" ht="12.75">
      <c r="B22" s="10" t="s">
        <v>125</v>
      </c>
      <c r="C22" s="10"/>
    </row>
    <row r="23" spans="2:3" ht="12.75">
      <c r="B23" s="10" t="s">
        <v>67</v>
      </c>
      <c r="C23" s="10"/>
    </row>
    <row r="24" spans="2:3" ht="12.75">
      <c r="B24" s="10" t="s">
        <v>68</v>
      </c>
      <c r="C24" s="10"/>
    </row>
    <row r="25" spans="2:3" ht="12.75">
      <c r="B25" s="10" t="s">
        <v>126</v>
      </c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ht="12.75">
      <c r="B29" s="10"/>
    </row>
    <row r="30" ht="12.75">
      <c r="B30" s="10"/>
    </row>
    <row r="33" spans="2:11" ht="12.75">
      <c r="B33" s="10"/>
      <c r="K33" s="53"/>
    </row>
  </sheetData>
  <sheetProtection/>
  <mergeCells count="4">
    <mergeCell ref="B1:K1"/>
    <mergeCell ref="A17:A19"/>
    <mergeCell ref="B4:C4"/>
    <mergeCell ref="B2:K2"/>
  </mergeCells>
  <printOptions/>
  <pageMargins left="0.75" right="0.75" top="0.75" bottom="1" header="0.5" footer="0.5"/>
  <pageSetup horizontalDpi="300" verticalDpi="300" orientation="landscape" r:id="rId1"/>
  <headerFooter alignWithMargins="0">
    <oddHeader>&amp;C&amp;"Arial,Bold"&amp;12Table C-20</oddHeader>
    <oddFooter>&amp;L&amp;8M:\Dbs\2440 Shell\&amp;F:&amp;A&amp;R&amp;8&amp;D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K33"/>
  <sheetViews>
    <sheetView zoomScale="85" zoomScaleNormal="85" zoomScalePageLayoutView="0" workbookViewId="0" topLeftCell="A1">
      <selection activeCell="A17" sqref="A17:A19"/>
    </sheetView>
  </sheetViews>
  <sheetFormatPr defaultColWidth="9.140625" defaultRowHeight="12.75"/>
  <cols>
    <col min="1" max="1" width="12.8515625" style="0" customWidth="1"/>
    <col min="3" max="3" width="15.421875" style="0" customWidth="1"/>
    <col min="12" max="12" width="8.421875" style="0" customWidth="1"/>
  </cols>
  <sheetData>
    <row r="1" spans="2:11" ht="15">
      <c r="B1" s="334" t="s">
        <v>36</v>
      </c>
      <c r="C1" s="334"/>
      <c r="D1" s="334"/>
      <c r="E1" s="334"/>
      <c r="F1" s="334"/>
      <c r="G1" s="334"/>
      <c r="H1" s="334"/>
      <c r="I1" s="334"/>
      <c r="J1" s="334"/>
      <c r="K1" s="334"/>
    </row>
    <row r="2" spans="2:11" ht="15">
      <c r="B2" s="334" t="s">
        <v>184</v>
      </c>
      <c r="C2" s="334"/>
      <c r="D2" s="334"/>
      <c r="E2" s="334"/>
      <c r="F2" s="334"/>
      <c r="G2" s="334"/>
      <c r="H2" s="334"/>
      <c r="I2" s="334"/>
      <c r="J2" s="334"/>
      <c r="K2" s="334"/>
    </row>
    <row r="3" ht="13.5" thickBot="1"/>
    <row r="4" spans="2:11" ht="46.5" customHeight="1" thickBot="1">
      <c r="B4" s="274" t="s">
        <v>37</v>
      </c>
      <c r="C4" s="275"/>
      <c r="D4" s="2"/>
      <c r="E4" s="5" t="s">
        <v>38</v>
      </c>
      <c r="F4" s="6"/>
      <c r="G4" s="6" t="s">
        <v>39</v>
      </c>
      <c r="H4" s="49" t="s">
        <v>40</v>
      </c>
      <c r="I4" s="49" t="s">
        <v>41</v>
      </c>
      <c r="J4" s="48" t="s">
        <v>42</v>
      </c>
      <c r="K4" s="29" t="s">
        <v>43</v>
      </c>
    </row>
    <row r="5" spans="2:11" ht="12.75">
      <c r="B5" s="36"/>
      <c r="C5" s="16"/>
      <c r="D5" s="16"/>
      <c r="E5" s="43"/>
      <c r="F5" s="16"/>
      <c r="G5" s="16"/>
      <c r="H5" s="16"/>
      <c r="I5" s="16"/>
      <c r="J5" s="16"/>
      <c r="K5" s="54"/>
    </row>
    <row r="6" spans="2:11" ht="12.75">
      <c r="B6" s="39" t="s">
        <v>44</v>
      </c>
      <c r="C6" s="16"/>
      <c r="D6" s="16"/>
      <c r="E6" s="43"/>
      <c r="F6" s="16"/>
      <c r="G6" s="16"/>
      <c r="H6" s="16"/>
      <c r="I6" s="16"/>
      <c r="J6" s="16"/>
      <c r="K6" s="55"/>
    </row>
    <row r="7" spans="2:11" ht="12.75">
      <c r="B7" s="39" t="s">
        <v>45</v>
      </c>
      <c r="C7" s="16"/>
      <c r="E7" s="227">
        <v>826</v>
      </c>
      <c r="F7" s="22"/>
      <c r="G7" s="22" t="s">
        <v>46</v>
      </c>
      <c r="H7" s="22">
        <v>2</v>
      </c>
      <c r="I7" s="22">
        <v>16.2</v>
      </c>
      <c r="J7" s="16">
        <f>0.000856-0.00047</f>
        <v>0.000386</v>
      </c>
      <c r="K7" s="70">
        <f>E7*H7*I7*J7</f>
        <v>10.330286399999999</v>
      </c>
    </row>
    <row r="8" spans="2:11" ht="12.75">
      <c r="B8" s="39" t="s">
        <v>5</v>
      </c>
      <c r="C8" s="16"/>
      <c r="D8" s="16"/>
      <c r="E8" s="43"/>
      <c r="F8" s="16"/>
      <c r="G8" s="16"/>
      <c r="H8" s="16"/>
      <c r="I8" s="16"/>
      <c r="J8" s="16"/>
      <c r="K8" s="78"/>
    </row>
    <row r="9" spans="2:11" ht="12.75">
      <c r="B9" s="39" t="s">
        <v>111</v>
      </c>
      <c r="C9" s="16"/>
      <c r="D9" s="16"/>
      <c r="E9" s="56">
        <v>0</v>
      </c>
      <c r="F9" s="16"/>
      <c r="G9" s="22" t="s">
        <v>46</v>
      </c>
      <c r="H9" s="22">
        <v>1</v>
      </c>
      <c r="I9" s="22">
        <v>2.5</v>
      </c>
      <c r="J9" s="16">
        <f>0.000856-0.00047</f>
        <v>0.000386</v>
      </c>
      <c r="K9" s="70">
        <f>E9*H9*I9*J9</f>
        <v>0</v>
      </c>
    </row>
    <row r="10" spans="2:11" ht="12.75">
      <c r="B10" s="39"/>
      <c r="C10" s="16"/>
      <c r="D10" s="16"/>
      <c r="E10" s="43"/>
      <c r="F10" s="16"/>
      <c r="G10" s="16"/>
      <c r="H10" s="16"/>
      <c r="I10" s="16"/>
      <c r="J10" s="16"/>
      <c r="K10" s="78"/>
    </row>
    <row r="11" spans="2:11" ht="12.75">
      <c r="B11" s="39" t="s">
        <v>112</v>
      </c>
      <c r="C11" s="16"/>
      <c r="D11" s="16"/>
      <c r="E11" s="56">
        <v>34</v>
      </c>
      <c r="F11" s="22"/>
      <c r="G11" s="22" t="s">
        <v>46</v>
      </c>
      <c r="H11" s="22">
        <v>1</v>
      </c>
      <c r="I11" s="22">
        <v>10</v>
      </c>
      <c r="J11" s="16">
        <f>0.0026-0.00047</f>
        <v>0.00213</v>
      </c>
      <c r="K11" s="70">
        <f>E11*H11*I11*J11</f>
        <v>0.7242</v>
      </c>
    </row>
    <row r="12" spans="2:11" ht="12.75">
      <c r="B12" s="39" t="s">
        <v>5</v>
      </c>
      <c r="C12" s="16"/>
      <c r="D12" s="16"/>
      <c r="E12" s="43"/>
      <c r="F12" s="16"/>
      <c r="G12" s="16"/>
      <c r="H12" s="16"/>
      <c r="I12" s="16"/>
      <c r="J12" s="16"/>
      <c r="K12" s="78"/>
    </row>
    <row r="13" spans="2:11" ht="12.75">
      <c r="B13" s="39" t="s">
        <v>108</v>
      </c>
      <c r="C13" s="16"/>
      <c r="D13" s="16"/>
      <c r="E13" s="56">
        <v>9</v>
      </c>
      <c r="F13" s="16"/>
      <c r="G13" s="22" t="s">
        <v>48</v>
      </c>
      <c r="H13" s="22">
        <v>1</v>
      </c>
      <c r="I13" s="22">
        <v>4</v>
      </c>
      <c r="J13" s="16">
        <f>0.0206-0.00047</f>
        <v>0.02013</v>
      </c>
      <c r="K13" s="70">
        <f>E13*H13*I13*J13</f>
        <v>0.72468</v>
      </c>
    </row>
    <row r="14" spans="2:11" ht="12.75">
      <c r="B14" s="39"/>
      <c r="C14" s="16"/>
      <c r="D14" s="16"/>
      <c r="E14" s="43"/>
      <c r="F14" s="16"/>
      <c r="G14" s="16"/>
      <c r="H14" s="16"/>
      <c r="I14" s="16"/>
      <c r="J14" s="16"/>
      <c r="K14" s="78"/>
    </row>
    <row r="15" spans="2:11" ht="12.75">
      <c r="B15" s="39" t="s">
        <v>47</v>
      </c>
      <c r="C15" s="16"/>
      <c r="D15" s="16"/>
      <c r="E15" s="56">
        <v>71</v>
      </c>
      <c r="F15" s="22"/>
      <c r="G15" s="22" t="s">
        <v>48</v>
      </c>
      <c r="H15" s="22">
        <v>1</v>
      </c>
      <c r="I15" s="22">
        <v>30</v>
      </c>
      <c r="J15" s="16">
        <f>0.0206-0.00047</f>
        <v>0.02013</v>
      </c>
      <c r="K15" s="70">
        <f>E15*H15*I15*J15</f>
        <v>42.8769</v>
      </c>
    </row>
    <row r="16" spans="2:11" ht="12.75">
      <c r="B16" s="39" t="s">
        <v>5</v>
      </c>
      <c r="C16" s="16"/>
      <c r="D16" s="16"/>
      <c r="E16" s="43"/>
      <c r="F16" s="16"/>
      <c r="G16" s="16"/>
      <c r="H16" s="16"/>
      <c r="I16" s="16"/>
      <c r="J16" s="16"/>
      <c r="K16" s="78"/>
    </row>
    <row r="17" spans="1:11" ht="12.75">
      <c r="A17" s="336" t="s">
        <v>210</v>
      </c>
      <c r="B17" s="39" t="s">
        <v>163</v>
      </c>
      <c r="C17" s="16"/>
      <c r="D17" s="16"/>
      <c r="E17" s="56">
        <v>20</v>
      </c>
      <c r="F17" s="22"/>
      <c r="G17" s="22" t="s">
        <v>48</v>
      </c>
      <c r="H17" s="22">
        <v>1</v>
      </c>
      <c r="I17" s="22">
        <v>10</v>
      </c>
      <c r="J17" s="16">
        <f>0.0206-0.00047</f>
        <v>0.02013</v>
      </c>
      <c r="K17" s="70">
        <f>E17*H17*I17*J17</f>
        <v>4.026</v>
      </c>
    </row>
    <row r="18" spans="1:11" ht="13.5" thickBot="1">
      <c r="A18" s="336"/>
      <c r="B18" s="39"/>
      <c r="C18" s="16"/>
      <c r="D18" s="16"/>
      <c r="E18" s="43"/>
      <c r="F18" s="16"/>
      <c r="G18" s="16"/>
      <c r="H18" s="16"/>
      <c r="I18" s="16"/>
      <c r="J18" s="16"/>
      <c r="K18" s="78"/>
    </row>
    <row r="19" spans="1:11" ht="18.75" customHeight="1" thickBot="1">
      <c r="A19" s="336"/>
      <c r="B19" s="1" t="s">
        <v>4</v>
      </c>
      <c r="C19" s="2"/>
      <c r="D19" s="2"/>
      <c r="E19" s="5">
        <f>SUM(E7:E18)</f>
        <v>960</v>
      </c>
      <c r="F19" s="2"/>
      <c r="G19" s="2"/>
      <c r="H19" s="2"/>
      <c r="I19" s="2"/>
      <c r="J19" s="2"/>
      <c r="K19" s="60">
        <f>SUM(K7:K18)</f>
        <v>58.6820664</v>
      </c>
    </row>
    <row r="21" ht="12.75">
      <c r="B21" s="10" t="s">
        <v>132</v>
      </c>
    </row>
    <row r="22" spans="2:3" ht="12.75">
      <c r="B22" s="10" t="s">
        <v>125</v>
      </c>
      <c r="C22" s="10"/>
    </row>
    <row r="23" spans="2:3" ht="12.75">
      <c r="B23" s="10" t="s">
        <v>67</v>
      </c>
      <c r="C23" s="10"/>
    </row>
    <row r="24" spans="2:3" ht="12.75">
      <c r="B24" s="10" t="s">
        <v>68</v>
      </c>
      <c r="C24" s="10"/>
    </row>
    <row r="25" spans="2:3" ht="12.75">
      <c r="B25" s="10" t="s">
        <v>126</v>
      </c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ht="12.75">
      <c r="B29" s="10"/>
    </row>
    <row r="30" ht="12.75">
      <c r="B30" s="10"/>
    </row>
    <row r="33" spans="2:11" ht="12.75">
      <c r="B33" s="10"/>
      <c r="K33" s="53"/>
    </row>
  </sheetData>
  <sheetProtection/>
  <mergeCells count="4">
    <mergeCell ref="B1:K1"/>
    <mergeCell ref="A17:A19"/>
    <mergeCell ref="B4:C4"/>
    <mergeCell ref="B2:K2"/>
  </mergeCells>
  <printOptions/>
  <pageMargins left="0.75" right="0.75" top="0.75" bottom="1" header="0.5" footer="0.5"/>
  <pageSetup horizontalDpi="300" verticalDpi="300" orientation="landscape" r:id="rId1"/>
  <headerFooter alignWithMargins="0">
    <oddHeader>&amp;C&amp;"Arial,Bold"&amp;12Table C-21</oddHeader>
    <oddFooter>&amp;L&amp;8M:\Dbs\2440 Shell\&amp;F:&amp;A&amp;R&amp;8&amp;D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PageLayoutView="0" workbookViewId="0" topLeftCell="A37">
      <selection activeCell="B48" sqref="B48"/>
    </sheetView>
  </sheetViews>
  <sheetFormatPr defaultColWidth="9.140625" defaultRowHeight="12.75"/>
  <cols>
    <col min="1" max="1" width="30.28125" style="0" customWidth="1"/>
    <col min="3" max="3" width="25.7109375" style="0" customWidth="1"/>
    <col min="8" max="8" width="8.421875" style="0" customWidth="1"/>
  </cols>
  <sheetData>
    <row r="1" spans="1:3" ht="15">
      <c r="A1" s="334" t="s">
        <v>113</v>
      </c>
      <c r="B1" s="337"/>
      <c r="C1" s="337"/>
    </row>
    <row r="2" spans="1:3" ht="15">
      <c r="A2" s="133"/>
      <c r="B2" s="242"/>
      <c r="C2" s="242"/>
    </row>
    <row r="3" spans="1:3" ht="15">
      <c r="A3" s="133"/>
      <c r="B3" s="242"/>
      <c r="C3" s="242"/>
    </row>
    <row r="4" spans="2:6" ht="17.25">
      <c r="B4" s="214"/>
      <c r="D4" s="112"/>
      <c r="E4" s="112"/>
      <c r="F4" s="112"/>
    </row>
    <row r="5" spans="1:6" ht="15">
      <c r="A5" s="338">
        <v>39052</v>
      </c>
      <c r="B5" s="339"/>
      <c r="C5" s="339"/>
      <c r="D5" s="133"/>
      <c r="E5" s="133"/>
      <c r="F5" s="133"/>
    </row>
    <row r="6" spans="2:6" ht="15.75" thickBot="1">
      <c r="B6" s="133"/>
      <c r="C6" s="133"/>
      <c r="D6" s="133"/>
      <c r="E6" s="133"/>
      <c r="F6" s="133"/>
    </row>
    <row r="7" spans="1:6" ht="15.75" thickBot="1">
      <c r="A7" s="215" t="s">
        <v>114</v>
      </c>
      <c r="B7" s="134" t="s">
        <v>115</v>
      </c>
      <c r="C7" s="134" t="s">
        <v>116</v>
      </c>
      <c r="D7" s="133"/>
      <c r="E7" s="133"/>
      <c r="F7" s="133"/>
    </row>
    <row r="8" spans="1:6" ht="15">
      <c r="A8" s="216" t="s">
        <v>117</v>
      </c>
      <c r="B8" s="135">
        <v>0</v>
      </c>
      <c r="C8" s="136"/>
      <c r="D8" s="133"/>
      <c r="E8" s="133"/>
      <c r="F8" s="133"/>
    </row>
    <row r="9" spans="1:6" ht="15">
      <c r="A9" s="205" t="s">
        <v>118</v>
      </c>
      <c r="B9" s="137">
        <v>3.51</v>
      </c>
      <c r="C9" s="138" t="s">
        <v>119</v>
      </c>
      <c r="D9" s="133"/>
      <c r="E9" s="133"/>
      <c r="F9" s="133"/>
    </row>
    <row r="10" spans="1:3" ht="12.75">
      <c r="A10" s="205" t="s">
        <v>120</v>
      </c>
      <c r="B10" s="137">
        <f>+B8*B9</f>
        <v>0</v>
      </c>
      <c r="C10" s="13"/>
    </row>
    <row r="11" spans="1:3" ht="12.75">
      <c r="A11" s="74"/>
      <c r="B11" s="217"/>
      <c r="C11" s="16"/>
    </row>
    <row r="12" spans="1:3" ht="15">
      <c r="A12" s="338">
        <v>39234</v>
      </c>
      <c r="B12" s="339"/>
      <c r="C12" s="339"/>
    </row>
    <row r="13" spans="2:6" ht="15.75" thickBot="1">
      <c r="B13" s="133"/>
      <c r="C13" s="133"/>
      <c r="D13" s="133"/>
      <c r="E13" s="133"/>
      <c r="F13" s="133"/>
    </row>
    <row r="14" spans="1:6" ht="15.75" thickBot="1">
      <c r="A14" s="215" t="s">
        <v>114</v>
      </c>
      <c r="B14" s="134" t="s">
        <v>115</v>
      </c>
      <c r="C14" s="134" t="s">
        <v>116</v>
      </c>
      <c r="D14" s="133"/>
      <c r="E14" s="133"/>
      <c r="F14" s="133"/>
    </row>
    <row r="15" spans="1:6" ht="15">
      <c r="A15" s="216" t="s">
        <v>117</v>
      </c>
      <c r="B15" s="135">
        <v>0.25</v>
      </c>
      <c r="C15" s="136"/>
      <c r="D15" s="133"/>
      <c r="E15" s="133"/>
      <c r="F15" s="133"/>
    </row>
    <row r="16" spans="1:6" ht="15">
      <c r="A16" s="205" t="s">
        <v>118</v>
      </c>
      <c r="B16" s="137">
        <v>3.51</v>
      </c>
      <c r="C16" s="138" t="s">
        <v>119</v>
      </c>
      <c r="D16" s="133"/>
      <c r="E16" s="133"/>
      <c r="F16" s="133"/>
    </row>
    <row r="17" spans="1:6" ht="15">
      <c r="A17" s="205" t="s">
        <v>120</v>
      </c>
      <c r="B17" s="137">
        <f>+B15*B16</f>
        <v>0.8775</v>
      </c>
      <c r="C17" s="13"/>
      <c r="D17" s="133"/>
      <c r="E17" s="133"/>
      <c r="F17" s="133"/>
    </row>
    <row r="18" spans="1:3" ht="12.75">
      <c r="A18" s="74"/>
      <c r="B18" s="217"/>
      <c r="C18" s="16"/>
    </row>
    <row r="19" spans="1:3" ht="15">
      <c r="A19" s="338">
        <v>39387</v>
      </c>
      <c r="B19" s="339"/>
      <c r="C19" s="339"/>
    </row>
    <row r="20" spans="2:3" ht="15.75" thickBot="1">
      <c r="B20" s="133"/>
      <c r="C20" s="133"/>
    </row>
    <row r="21" spans="1:3" ht="13.5" thickBot="1">
      <c r="A21" s="215" t="s">
        <v>114</v>
      </c>
      <c r="B21" s="134" t="s">
        <v>115</v>
      </c>
      <c r="C21" s="134" t="s">
        <v>116</v>
      </c>
    </row>
    <row r="22" spans="1:3" ht="12.75" customHeight="1">
      <c r="A22" s="216" t="s">
        <v>117</v>
      </c>
      <c r="B22" s="135">
        <v>5</v>
      </c>
      <c r="C22" s="136"/>
    </row>
    <row r="23" spans="1:3" ht="12.75">
      <c r="A23" s="205" t="s">
        <v>118</v>
      </c>
      <c r="B23" s="137">
        <v>3.51</v>
      </c>
      <c r="C23" s="138" t="s">
        <v>119</v>
      </c>
    </row>
    <row r="24" spans="1:3" ht="12.75">
      <c r="A24" s="205" t="s">
        <v>120</v>
      </c>
      <c r="B24" s="137">
        <f>+B22*B23</f>
        <v>17.549999999999997</v>
      </c>
      <c r="C24" s="13"/>
    </row>
    <row r="26" spans="1:3" ht="15">
      <c r="A26" s="338">
        <v>39448</v>
      </c>
      <c r="B26" s="339"/>
      <c r="C26" s="339"/>
    </row>
    <row r="27" spans="2:3" ht="15.75" thickBot="1">
      <c r="B27" s="133"/>
      <c r="C27" s="133"/>
    </row>
    <row r="28" spans="1:3" ht="13.5" thickBot="1">
      <c r="A28" s="215" t="s">
        <v>114</v>
      </c>
      <c r="B28" s="134" t="s">
        <v>115</v>
      </c>
      <c r="C28" s="134" t="s">
        <v>116</v>
      </c>
    </row>
    <row r="29" spans="1:3" ht="12.75">
      <c r="A29" s="216" t="s">
        <v>117</v>
      </c>
      <c r="B29" s="135">
        <v>12</v>
      </c>
      <c r="C29" s="136"/>
    </row>
    <row r="30" spans="1:3" ht="12.75">
      <c r="A30" s="205" t="s">
        <v>118</v>
      </c>
      <c r="B30" s="137">
        <v>3.51</v>
      </c>
      <c r="C30" s="138" t="s">
        <v>119</v>
      </c>
    </row>
    <row r="31" spans="1:3" ht="12.75">
      <c r="A31" s="205" t="s">
        <v>120</v>
      </c>
      <c r="B31" s="137">
        <f>+B29*B30</f>
        <v>42.12</v>
      </c>
      <c r="C31" s="13"/>
    </row>
    <row r="32" spans="1:3" ht="12.75">
      <c r="A32" s="74"/>
      <c r="B32" s="217"/>
      <c r="C32" s="16"/>
    </row>
    <row r="33" spans="1:3" ht="15">
      <c r="A33" s="338">
        <v>39479</v>
      </c>
      <c r="B33" s="339"/>
      <c r="C33" s="339"/>
    </row>
    <row r="34" spans="2:3" ht="15.75" thickBot="1">
      <c r="B34" s="133"/>
      <c r="C34" s="133"/>
    </row>
    <row r="35" spans="1:3" ht="13.5" thickBot="1">
      <c r="A35" s="215" t="s">
        <v>114</v>
      </c>
      <c r="B35" s="134" t="s">
        <v>115</v>
      </c>
      <c r="C35" s="134" t="s">
        <v>116</v>
      </c>
    </row>
    <row r="36" spans="1:3" ht="12.75">
      <c r="A36" s="216" t="s">
        <v>117</v>
      </c>
      <c r="B36" s="135">
        <v>12</v>
      </c>
      <c r="C36" s="136"/>
    </row>
    <row r="37" spans="1:3" ht="12.75">
      <c r="A37" s="205" t="s">
        <v>118</v>
      </c>
      <c r="B37" s="137">
        <v>3.51</v>
      </c>
      <c r="C37" s="138" t="s">
        <v>119</v>
      </c>
    </row>
    <row r="38" spans="1:3" ht="12.75">
      <c r="A38" s="205" t="s">
        <v>120</v>
      </c>
      <c r="B38" s="137">
        <f>+B36*B37</f>
        <v>42.12</v>
      </c>
      <c r="C38" s="13"/>
    </row>
    <row r="40" ht="12.75">
      <c r="A40" s="10" t="s">
        <v>121</v>
      </c>
    </row>
    <row r="48" ht="12.75">
      <c r="B48" s="112" t="s">
        <v>211</v>
      </c>
    </row>
  </sheetData>
  <sheetProtection/>
  <mergeCells count="6">
    <mergeCell ref="A1:C1"/>
    <mergeCell ref="A19:C19"/>
    <mergeCell ref="A5:C5"/>
    <mergeCell ref="A33:C33"/>
    <mergeCell ref="A12:C12"/>
    <mergeCell ref="A26:C26"/>
  </mergeCells>
  <printOptions horizontalCentered="1"/>
  <pageMargins left="0.75" right="0.75" top="0.75" bottom="1" header="0.5" footer="0.5"/>
  <pageSetup fitToHeight="1" fitToWidth="1" horizontalDpi="300" verticalDpi="300" orientation="portrait" r:id="rId1"/>
  <headerFooter alignWithMargins="0">
    <oddHeader>&amp;C&amp;"Arial,Bold"&amp;12Table C-22</oddHeader>
    <oddFooter>&amp;L&amp;8M:\MC\2393 BP\EIR\&amp;F:&amp;A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G71"/>
  <sheetViews>
    <sheetView zoomScalePageLayoutView="0" workbookViewId="0" topLeftCell="A47">
      <selection activeCell="A1" sqref="A1:G1"/>
    </sheetView>
  </sheetViews>
  <sheetFormatPr defaultColWidth="9.140625" defaultRowHeight="12.75"/>
  <cols>
    <col min="1" max="1" width="22.00390625" style="228" bestFit="1" customWidth="1"/>
    <col min="2" max="2" width="9.140625" style="228" customWidth="1"/>
    <col min="3" max="7" width="10.140625" style="228" customWidth="1"/>
    <col min="8" max="16384" width="9.140625" style="228" customWidth="1"/>
  </cols>
  <sheetData>
    <row r="1" spans="1:7" ht="21">
      <c r="A1" s="349" t="s">
        <v>90</v>
      </c>
      <c r="B1" s="349"/>
      <c r="C1" s="349"/>
      <c r="D1" s="349"/>
      <c r="E1" s="349"/>
      <c r="F1" s="349"/>
      <c r="G1" s="349"/>
    </row>
    <row r="2" spans="1:7" ht="15">
      <c r="A2" s="243"/>
      <c r="B2" s="243"/>
      <c r="C2" s="243"/>
      <c r="D2" s="243"/>
      <c r="E2" s="243"/>
      <c r="F2" s="243"/>
      <c r="G2" s="243"/>
    </row>
    <row r="3" ht="13.5" thickBot="1"/>
    <row r="4" spans="1:7" ht="13.5" thickTop="1">
      <c r="A4" s="340" t="s">
        <v>88</v>
      </c>
      <c r="B4" s="341"/>
      <c r="C4" s="344" t="s">
        <v>173</v>
      </c>
      <c r="D4" s="345"/>
      <c r="E4" s="345"/>
      <c r="F4" s="346"/>
      <c r="G4" s="347"/>
    </row>
    <row r="5" spans="1:7" ht="13.5" thickBot="1">
      <c r="A5" s="342"/>
      <c r="B5" s="343"/>
      <c r="C5" s="229" t="s">
        <v>0</v>
      </c>
      <c r="D5" s="229" t="s">
        <v>1</v>
      </c>
      <c r="E5" s="229" t="s">
        <v>2</v>
      </c>
      <c r="F5" s="229" t="s">
        <v>6</v>
      </c>
      <c r="G5" s="230" t="s">
        <v>3</v>
      </c>
    </row>
    <row r="6" spans="1:7" ht="13.5" thickTop="1">
      <c r="A6" s="231"/>
      <c r="B6" s="231"/>
      <c r="C6" s="231"/>
      <c r="D6" s="231"/>
      <c r="E6" s="231"/>
      <c r="F6" s="231"/>
      <c r="G6" s="231"/>
    </row>
    <row r="7" spans="1:7" ht="12.75">
      <c r="A7" s="232"/>
      <c r="B7" s="231"/>
      <c r="C7" s="231"/>
      <c r="D7" s="231"/>
      <c r="E7" s="231"/>
      <c r="F7" s="231"/>
      <c r="G7" s="231"/>
    </row>
    <row r="8" spans="1:7" ht="12.75">
      <c r="A8" s="231" t="s">
        <v>56</v>
      </c>
      <c r="B8" s="231"/>
      <c r="C8" s="218">
        <f>'ConstEquip 12-06'!J23</f>
        <v>254.82832000000002</v>
      </c>
      <c r="D8" s="218">
        <f>'ConstEquip 12-06'!K23</f>
        <v>63.16056000000001</v>
      </c>
      <c r="E8" s="218">
        <f>'ConstEquip 12-06'!L23</f>
        <v>519.55168</v>
      </c>
      <c r="F8" s="218">
        <f>'ConstEquip 12-06'!M23</f>
        <v>45.34016</v>
      </c>
      <c r="G8" s="218">
        <f>'ConstEquip 12-06'!N23</f>
        <v>29.920879999999997</v>
      </c>
    </row>
    <row r="9" spans="1:7" ht="12.75">
      <c r="A9" s="231" t="s">
        <v>89</v>
      </c>
      <c r="B9" s="231"/>
      <c r="C9" s="218">
        <f>'ConstTripEmiss 12-06'!G20</f>
        <v>79.06365</v>
      </c>
      <c r="D9" s="218">
        <f>'ConstTripEmiss 12-06'!H20</f>
        <v>9.28657</v>
      </c>
      <c r="E9" s="218">
        <f>'ConstTripEmiss 12-06'!I20</f>
        <v>35.388059999999996</v>
      </c>
      <c r="F9" s="218">
        <f>'ConstTripEmiss 12-06'!J20</f>
        <v>0.30794</v>
      </c>
      <c r="G9" s="218">
        <f>'ConstTripEmiss 12-06'!K20</f>
        <v>0.8609599539921404</v>
      </c>
    </row>
    <row r="10" spans="1:7" ht="12.75">
      <c r="A10" s="231" t="s">
        <v>7</v>
      </c>
      <c r="B10" s="231"/>
      <c r="C10" s="218">
        <v>0</v>
      </c>
      <c r="D10" s="218">
        <v>0</v>
      </c>
      <c r="E10" s="218">
        <v>0</v>
      </c>
      <c r="F10" s="218">
        <v>0</v>
      </c>
      <c r="G10" s="218">
        <f>'FugitiveConstEF 12-06'!J30</f>
        <v>96.4259684515673</v>
      </c>
    </row>
    <row r="11" spans="1:7" ht="12.75">
      <c r="A11" s="231" t="s">
        <v>92</v>
      </c>
      <c r="B11" s="231"/>
      <c r="C11" s="218">
        <v>0</v>
      </c>
      <c r="D11" s="218">
        <v>0</v>
      </c>
      <c r="E11" s="218">
        <v>0</v>
      </c>
      <c r="F11" s="218">
        <v>0</v>
      </c>
      <c r="G11" s="218">
        <f>'FugitiveEmiss 12-06'!K19</f>
        <v>23.781899999999997</v>
      </c>
    </row>
    <row r="12" spans="1:7" ht="12.75">
      <c r="A12" s="231" t="s">
        <v>122</v>
      </c>
      <c r="B12" s="231"/>
      <c r="C12" s="218">
        <v>0</v>
      </c>
      <c r="D12" s="218">
        <f>'Fugitive Paint'!B10</f>
        <v>0</v>
      </c>
      <c r="E12" s="218">
        <v>0</v>
      </c>
      <c r="F12" s="218">
        <v>0</v>
      </c>
      <c r="G12" s="218">
        <v>0</v>
      </c>
    </row>
    <row r="13" spans="1:7" ht="12.75">
      <c r="A13" s="232" t="s">
        <v>64</v>
      </c>
      <c r="B13" s="231"/>
      <c r="C13" s="218">
        <f>SUM(C8:C12)</f>
        <v>333.89197</v>
      </c>
      <c r="D13" s="218">
        <f>SUM(D8:D12)</f>
        <v>72.44713000000002</v>
      </c>
      <c r="E13" s="218">
        <f>SUM(E8:E12)</f>
        <v>554.93974</v>
      </c>
      <c r="F13" s="218">
        <f>SUM(F8:F12)</f>
        <v>45.6481</v>
      </c>
      <c r="G13" s="218">
        <f>SUM(G8:G12)</f>
        <v>150.98970840555944</v>
      </c>
    </row>
    <row r="14" spans="1:7" ht="12.75">
      <c r="A14" s="232" t="s">
        <v>93</v>
      </c>
      <c r="B14" s="231"/>
      <c r="C14" s="231">
        <v>550</v>
      </c>
      <c r="D14" s="231">
        <v>75</v>
      </c>
      <c r="E14" s="231">
        <v>100</v>
      </c>
      <c r="F14" s="231">
        <v>150</v>
      </c>
      <c r="G14" s="231">
        <v>150</v>
      </c>
    </row>
    <row r="15" spans="1:7" ht="12.75">
      <c r="A15" s="232" t="s">
        <v>94</v>
      </c>
      <c r="B15" s="231"/>
      <c r="C15" s="233" t="str">
        <f>IF(C13&gt;C14,"Yes","No")</f>
        <v>No</v>
      </c>
      <c r="D15" s="233" t="str">
        <f>IF(D13&gt;D14,"Yes","No")</f>
        <v>No</v>
      </c>
      <c r="E15" s="233" t="str">
        <f>IF(E13&gt;E14,"Yes","No")</f>
        <v>Yes</v>
      </c>
      <c r="F15" s="233" t="str">
        <f>IF(F13&gt;F14,"Yes","No")</f>
        <v>No</v>
      </c>
      <c r="G15" s="233" t="str">
        <f>IF(G13&gt;G14,"Yes","No")</f>
        <v>Yes</v>
      </c>
    </row>
    <row r="16" ht="13.5" thickBot="1"/>
    <row r="17" spans="1:7" ht="13.5" thickTop="1">
      <c r="A17" s="340" t="s">
        <v>88</v>
      </c>
      <c r="B17" s="341"/>
      <c r="C17" s="344" t="s">
        <v>174</v>
      </c>
      <c r="D17" s="345"/>
      <c r="E17" s="345"/>
      <c r="F17" s="346"/>
      <c r="G17" s="347"/>
    </row>
    <row r="18" spans="1:7" ht="13.5" customHeight="1" thickBot="1">
      <c r="A18" s="342"/>
      <c r="B18" s="343"/>
      <c r="C18" s="229" t="s">
        <v>0</v>
      </c>
      <c r="D18" s="229" t="s">
        <v>1</v>
      </c>
      <c r="E18" s="229" t="s">
        <v>2</v>
      </c>
      <c r="F18" s="229" t="s">
        <v>6</v>
      </c>
      <c r="G18" s="230" t="s">
        <v>3</v>
      </c>
    </row>
    <row r="19" spans="1:7" ht="13.5" thickTop="1">
      <c r="A19" s="231"/>
      <c r="B19" s="231"/>
      <c r="C19" s="231"/>
      <c r="D19" s="231"/>
      <c r="E19" s="231"/>
      <c r="F19" s="231"/>
      <c r="G19" s="231"/>
    </row>
    <row r="20" spans="1:7" ht="12.75" customHeight="1">
      <c r="A20" s="232"/>
      <c r="B20" s="231"/>
      <c r="C20" s="231"/>
      <c r="D20" s="231"/>
      <c r="E20" s="231"/>
      <c r="F20" s="231"/>
      <c r="G20" s="231"/>
    </row>
    <row r="21" spans="1:7" ht="12.75">
      <c r="A21" s="231" t="s">
        <v>56</v>
      </c>
      <c r="B21" s="231"/>
      <c r="C21" s="218">
        <f>'ConstEquip 06-07'!J23</f>
        <v>308.36204</v>
      </c>
      <c r="D21" s="218">
        <f>'ConstEquip 06-07'!K23</f>
        <v>77.70188</v>
      </c>
      <c r="E21" s="218">
        <f>'ConstEquip 06-07'!L23</f>
        <v>693.8460799999999</v>
      </c>
      <c r="F21" s="218">
        <f>'ConstEquip 06-07'!M23</f>
        <v>54.77656</v>
      </c>
      <c r="G21" s="218">
        <f>'ConstEquip 06-07'!N23</f>
        <v>39.48044</v>
      </c>
    </row>
    <row r="22" spans="1:7" ht="12.75">
      <c r="A22" s="231" t="s">
        <v>89</v>
      </c>
      <c r="B22" s="231"/>
      <c r="C22" s="218">
        <f>'ConstTripEmiss 06-07'!G20</f>
        <v>209.52848999999998</v>
      </c>
      <c r="D22" s="218">
        <f>'ConstTripEmiss 06-07'!H20</f>
        <v>24.347892</v>
      </c>
      <c r="E22" s="218">
        <f>'ConstTripEmiss 06-07'!I20</f>
        <v>77.882616</v>
      </c>
      <c r="F22" s="218">
        <f>'ConstTripEmiss 06-07'!J20</f>
        <v>0.19701000000000002</v>
      </c>
      <c r="G22" s="218">
        <f>'ConstTripEmiss 06-07'!K20</f>
        <v>2.10327187093122</v>
      </c>
    </row>
    <row r="23" spans="1:7" ht="12.75">
      <c r="A23" s="231" t="s">
        <v>7</v>
      </c>
      <c r="B23" s="231"/>
      <c r="C23" s="218">
        <v>0</v>
      </c>
      <c r="D23" s="218">
        <v>0</v>
      </c>
      <c r="E23" s="218">
        <v>0</v>
      </c>
      <c r="F23" s="218">
        <v>0</v>
      </c>
      <c r="G23" s="218">
        <f>'FugitiveConstEF 06-07'!J30</f>
        <v>65.15490030104485</v>
      </c>
    </row>
    <row r="24" spans="1:7" ht="12.75">
      <c r="A24" s="231" t="s">
        <v>92</v>
      </c>
      <c r="B24" s="231"/>
      <c r="C24" s="218">
        <v>0</v>
      </c>
      <c r="D24" s="218">
        <v>0</v>
      </c>
      <c r="E24" s="218">
        <v>0</v>
      </c>
      <c r="F24" s="218">
        <v>0</v>
      </c>
      <c r="G24" s="218">
        <f>'FugitiveEmiss 06-07'!K19</f>
        <v>53.94790799999999</v>
      </c>
    </row>
    <row r="25" spans="1:7" ht="12.75">
      <c r="A25" s="231" t="s">
        <v>122</v>
      </c>
      <c r="B25" s="231"/>
      <c r="C25" s="218">
        <v>0</v>
      </c>
      <c r="D25" s="218">
        <f>'Fugitive Paint'!B17</f>
        <v>0.8775</v>
      </c>
      <c r="E25" s="218">
        <v>0</v>
      </c>
      <c r="F25" s="218">
        <v>0</v>
      </c>
      <c r="G25" s="218">
        <v>0</v>
      </c>
    </row>
    <row r="26" spans="1:7" ht="12.75">
      <c r="A26" s="232" t="s">
        <v>64</v>
      </c>
      <c r="B26" s="231"/>
      <c r="C26" s="218">
        <f>SUM(C21:C25)</f>
        <v>517.8905299999999</v>
      </c>
      <c r="D26" s="218">
        <f>SUM(D21:D25)</f>
        <v>102.927272</v>
      </c>
      <c r="E26" s="218">
        <f>SUM(E21:E25)</f>
        <v>771.7286959999999</v>
      </c>
      <c r="F26" s="218">
        <f>SUM(F21:F25)</f>
        <v>54.97357</v>
      </c>
      <c r="G26" s="218">
        <f>SUM(G21:G25)</f>
        <v>160.68652017197607</v>
      </c>
    </row>
    <row r="27" spans="1:7" ht="12.75">
      <c r="A27" s="232" t="s">
        <v>93</v>
      </c>
      <c r="B27" s="231"/>
      <c r="C27" s="231">
        <v>550</v>
      </c>
      <c r="D27" s="231">
        <v>75</v>
      </c>
      <c r="E27" s="231">
        <v>100</v>
      </c>
      <c r="F27" s="231">
        <v>150</v>
      </c>
      <c r="G27" s="231">
        <v>150</v>
      </c>
    </row>
    <row r="28" spans="1:7" ht="12.75">
      <c r="A28" s="232" t="s">
        <v>94</v>
      </c>
      <c r="B28" s="231"/>
      <c r="C28" s="233" t="str">
        <f>IF(C26&gt;C27,"Yes","No")</f>
        <v>No</v>
      </c>
      <c r="D28" s="233" t="str">
        <f>IF(D26&gt;D27,"Yes","No")</f>
        <v>Yes</v>
      </c>
      <c r="E28" s="233" t="str">
        <f>IF(E26&gt;E27,"Yes","No")</f>
        <v>Yes</v>
      </c>
      <c r="F28" s="233" t="str">
        <f>IF(F26&gt;F27,"Yes","No")</f>
        <v>No</v>
      </c>
      <c r="G28" s="233" t="str">
        <f>IF(G26&gt;G27,"Yes","No")</f>
        <v>Yes</v>
      </c>
    </row>
    <row r="29" spans="1:7" ht="13.5" thickBot="1">
      <c r="A29" s="234"/>
      <c r="B29" s="235"/>
      <c r="C29" s="236"/>
      <c r="D29" s="237"/>
      <c r="E29" s="237"/>
      <c r="F29" s="237"/>
      <c r="G29" s="237"/>
    </row>
    <row r="30" spans="1:7" ht="13.5" thickTop="1">
      <c r="A30" s="340" t="s">
        <v>88</v>
      </c>
      <c r="B30" s="341"/>
      <c r="C30" s="344" t="s">
        <v>175</v>
      </c>
      <c r="D30" s="345"/>
      <c r="E30" s="345"/>
      <c r="F30" s="346"/>
      <c r="G30" s="347"/>
    </row>
    <row r="31" spans="1:7" ht="13.5" thickBot="1">
      <c r="A31" s="342"/>
      <c r="B31" s="343"/>
      <c r="C31" s="229" t="s">
        <v>0</v>
      </c>
      <c r="D31" s="229" t="s">
        <v>1</v>
      </c>
      <c r="E31" s="229" t="s">
        <v>2</v>
      </c>
      <c r="F31" s="229" t="s">
        <v>6</v>
      </c>
      <c r="G31" s="230" t="s">
        <v>3</v>
      </c>
    </row>
    <row r="32" spans="1:7" ht="13.5" thickTop="1">
      <c r="A32" s="231"/>
      <c r="B32" s="231"/>
      <c r="C32" s="231"/>
      <c r="D32" s="231"/>
      <c r="E32" s="231"/>
      <c r="F32" s="231"/>
      <c r="G32" s="231"/>
    </row>
    <row r="33" spans="1:7" ht="12.75">
      <c r="A33" s="232"/>
      <c r="B33" s="231"/>
      <c r="C33" s="231"/>
      <c r="D33" s="231"/>
      <c r="E33" s="231"/>
      <c r="F33" s="231"/>
      <c r="G33" s="231"/>
    </row>
    <row r="34" spans="1:7" ht="12.75">
      <c r="A34" s="231" t="s">
        <v>56</v>
      </c>
      <c r="B34" s="231"/>
      <c r="C34" s="218">
        <f>'ConstEquip 11-07'!J23</f>
        <v>399.58592</v>
      </c>
      <c r="D34" s="218">
        <f>'ConstEquip 11-07'!K23</f>
        <v>98.39720000000003</v>
      </c>
      <c r="E34" s="218">
        <f>'ConstEquip 11-07'!L23</f>
        <v>921.45684</v>
      </c>
      <c r="F34" s="218">
        <f>'ConstEquip 11-07'!M23</f>
        <v>70.80296</v>
      </c>
      <c r="G34" s="218">
        <f>'ConstEquip 11-07'!N23</f>
        <v>52.6928</v>
      </c>
    </row>
    <row r="35" spans="1:7" ht="12.75">
      <c r="A35" s="231" t="s">
        <v>89</v>
      </c>
      <c r="B35" s="231"/>
      <c r="C35" s="218">
        <f>'ConstTripEmiss 11-07'!G20</f>
        <v>315.75880000000006</v>
      </c>
      <c r="D35" s="218">
        <f>'ConstTripEmiss 11-07'!H20</f>
        <v>36.20948</v>
      </c>
      <c r="E35" s="218">
        <f>'ConstTripEmiss 11-07'!I20</f>
        <v>101.97148</v>
      </c>
      <c r="F35" s="218">
        <f>'ConstTripEmiss 11-07'!J20</f>
        <v>0.28308</v>
      </c>
      <c r="G35" s="218">
        <f>'ConstTripEmiss 11-07'!K20</f>
        <v>2.9494057929993396</v>
      </c>
    </row>
    <row r="36" spans="1:7" ht="12.75">
      <c r="A36" s="231" t="s">
        <v>7</v>
      </c>
      <c r="B36" s="231"/>
      <c r="C36" s="218">
        <v>0</v>
      </c>
      <c r="D36" s="218">
        <v>0</v>
      </c>
      <c r="E36" s="218">
        <v>0</v>
      </c>
      <c r="F36" s="218">
        <v>0</v>
      </c>
      <c r="G36" s="218">
        <f>'FugitiveConstEF 11-07'!J30</f>
        <v>48.051227100783635</v>
      </c>
    </row>
    <row r="37" spans="1:7" ht="12.75">
      <c r="A37" s="231" t="s">
        <v>92</v>
      </c>
      <c r="B37" s="231"/>
      <c r="C37" s="218">
        <v>0</v>
      </c>
      <c r="D37" s="218">
        <v>0</v>
      </c>
      <c r="E37" s="218">
        <v>0</v>
      </c>
      <c r="F37" s="218">
        <v>0</v>
      </c>
      <c r="G37" s="218">
        <f>'FugitiveEmiss 11-07'!K19</f>
        <v>68.1468</v>
      </c>
    </row>
    <row r="38" spans="1:7" ht="12.75">
      <c r="A38" s="231" t="s">
        <v>122</v>
      </c>
      <c r="B38" s="231"/>
      <c r="C38" s="218">
        <v>0</v>
      </c>
      <c r="D38" s="218">
        <f>'Fugitive Paint'!B24</f>
        <v>17.549999999999997</v>
      </c>
      <c r="E38" s="218">
        <v>0</v>
      </c>
      <c r="F38" s="218">
        <v>0</v>
      </c>
      <c r="G38" s="218">
        <v>0</v>
      </c>
    </row>
    <row r="39" spans="1:7" ht="12.75">
      <c r="A39" s="232" t="s">
        <v>64</v>
      </c>
      <c r="B39" s="231"/>
      <c r="C39" s="218">
        <f>SUM(C34:C38)</f>
        <v>715.34472</v>
      </c>
      <c r="D39" s="218">
        <f>SUM(D34:D38)</f>
        <v>152.15668000000005</v>
      </c>
      <c r="E39" s="218">
        <f>SUM(E34:E38)</f>
        <v>1023.4283200000001</v>
      </c>
      <c r="F39" s="218">
        <f>SUM(F34:F38)</f>
        <v>71.08604</v>
      </c>
      <c r="G39" s="241">
        <f>SUM(G34:G38)</f>
        <v>171.84023289378297</v>
      </c>
    </row>
    <row r="40" spans="1:7" ht="12.75">
      <c r="A40" s="232" t="s">
        <v>93</v>
      </c>
      <c r="B40" s="231"/>
      <c r="C40" s="231">
        <v>550</v>
      </c>
      <c r="D40" s="231">
        <v>75</v>
      </c>
      <c r="E40" s="231">
        <v>100</v>
      </c>
      <c r="F40" s="231">
        <v>150</v>
      </c>
      <c r="G40" s="231">
        <v>150</v>
      </c>
    </row>
    <row r="41" spans="1:7" ht="12.75">
      <c r="A41" s="232" t="s">
        <v>94</v>
      </c>
      <c r="B41" s="231"/>
      <c r="C41" s="233" t="str">
        <f>IF(C39&gt;C40,"Yes","No")</f>
        <v>Yes</v>
      </c>
      <c r="D41" s="233" t="str">
        <f>IF(D39&gt;D40,"Yes","No")</f>
        <v>Yes</v>
      </c>
      <c r="E41" s="233" t="str">
        <f>IF(E39&gt;E40,"Yes","No")</f>
        <v>Yes</v>
      </c>
      <c r="F41" s="233" t="str">
        <f>IF(F39&gt;F40,"Yes","No")</f>
        <v>No</v>
      </c>
      <c r="G41" s="233" t="str">
        <f>IF(G39&gt;G40,"Yes","No")</f>
        <v>Yes</v>
      </c>
    </row>
    <row r="42" ht="13.5" thickBot="1"/>
    <row r="43" spans="1:7" ht="13.5" thickTop="1">
      <c r="A43" s="340" t="s">
        <v>88</v>
      </c>
      <c r="B43" s="341"/>
      <c r="C43" s="344" t="s">
        <v>176</v>
      </c>
      <c r="D43" s="345"/>
      <c r="E43" s="345"/>
      <c r="F43" s="346"/>
      <c r="G43" s="347"/>
    </row>
    <row r="44" spans="1:7" ht="13.5" thickBot="1">
      <c r="A44" s="342"/>
      <c r="B44" s="343"/>
      <c r="C44" s="229" t="s">
        <v>0</v>
      </c>
      <c r="D44" s="229" t="s">
        <v>1</v>
      </c>
      <c r="E44" s="229" t="s">
        <v>2</v>
      </c>
      <c r="F44" s="229" t="s">
        <v>6</v>
      </c>
      <c r="G44" s="230" t="s">
        <v>3</v>
      </c>
    </row>
    <row r="45" spans="1:7" ht="13.5" thickTop="1">
      <c r="A45" s="231"/>
      <c r="B45" s="231"/>
      <c r="C45" s="231"/>
      <c r="D45" s="231"/>
      <c r="E45" s="231"/>
      <c r="F45" s="231"/>
      <c r="G45" s="231"/>
    </row>
    <row r="46" spans="1:7" ht="12.75">
      <c r="A46" s="232"/>
      <c r="B46" s="231"/>
      <c r="C46" s="231"/>
      <c r="D46" s="231"/>
      <c r="E46" s="231"/>
      <c r="F46" s="231"/>
      <c r="G46" s="231"/>
    </row>
    <row r="47" spans="1:7" ht="12.75">
      <c r="A47" s="231" t="s">
        <v>56</v>
      </c>
      <c r="B47" s="231"/>
      <c r="C47" s="218">
        <f>'ConstEquip 01-08'!J23</f>
        <v>530.57312</v>
      </c>
      <c r="D47" s="218">
        <f>'ConstEquip 01-08'!K23</f>
        <v>140.15800000000002</v>
      </c>
      <c r="E47" s="218">
        <f>'ConstEquip 01-08'!L23</f>
        <v>1296.8054000000002</v>
      </c>
      <c r="F47" s="218">
        <f>'ConstEquip 01-08'!M23</f>
        <v>93.90447999999999</v>
      </c>
      <c r="G47" s="218">
        <f>'ConstEquip 01-08'!N23</f>
        <v>72.939</v>
      </c>
    </row>
    <row r="48" spans="1:7" ht="12.75">
      <c r="A48" s="231" t="s">
        <v>89</v>
      </c>
      <c r="B48" s="231"/>
      <c r="C48" s="218">
        <f>'ConstTripEmiss 01-08'!G20</f>
        <v>336.90690000000006</v>
      </c>
      <c r="D48" s="218">
        <f>'ConstTripEmiss 01-08'!H20</f>
        <v>38.310832000000005</v>
      </c>
      <c r="E48" s="218">
        <f>'ConstTripEmiss 01-08'!I20</f>
        <v>90.33407400000002</v>
      </c>
      <c r="F48" s="218">
        <f>'ConstTripEmiss 01-08'!J20</f>
        <v>0.310062</v>
      </c>
      <c r="G48" s="218">
        <f>'ConstTripEmiss 01-08'!K20</f>
        <v>3.0760540000000005</v>
      </c>
    </row>
    <row r="49" spans="1:7" ht="12.75">
      <c r="A49" s="231" t="s">
        <v>7</v>
      </c>
      <c r="B49" s="231"/>
      <c r="C49" s="218">
        <v>0</v>
      </c>
      <c r="D49" s="218">
        <v>0</v>
      </c>
      <c r="E49" s="218">
        <v>0</v>
      </c>
      <c r="F49" s="218">
        <v>0</v>
      </c>
      <c r="G49" s="218">
        <f>'FugitiveConstEF 01-08'!J30</f>
        <v>0.00871165</v>
      </c>
    </row>
    <row r="50" spans="1:7" ht="12.75">
      <c r="A50" s="231" t="s">
        <v>92</v>
      </c>
      <c r="B50" s="231"/>
      <c r="C50" s="218">
        <v>0</v>
      </c>
      <c r="D50" s="218">
        <v>0</v>
      </c>
      <c r="E50" s="218">
        <v>0</v>
      </c>
      <c r="F50" s="218">
        <v>0</v>
      </c>
      <c r="G50" s="218">
        <f>'FugitiveEmiss 01-08'!K19</f>
        <v>61.521276</v>
      </c>
    </row>
    <row r="51" spans="1:7" ht="12.75">
      <c r="A51" s="231" t="s">
        <v>122</v>
      </c>
      <c r="B51" s="231"/>
      <c r="C51" s="218">
        <v>0</v>
      </c>
      <c r="D51" s="218">
        <f>'Fugitive Paint'!B31</f>
        <v>42.12</v>
      </c>
      <c r="E51" s="218">
        <v>0</v>
      </c>
      <c r="F51" s="218">
        <v>0</v>
      </c>
      <c r="G51" s="218">
        <v>0</v>
      </c>
    </row>
    <row r="52" spans="1:7" ht="12.75">
      <c r="A52" s="232" t="s">
        <v>64</v>
      </c>
      <c r="B52" s="231"/>
      <c r="C52" s="218">
        <f>SUM(C47:C51)</f>
        <v>867.4800200000001</v>
      </c>
      <c r="D52" s="218">
        <f>SUM(D47:D51)</f>
        <v>220.58883200000002</v>
      </c>
      <c r="E52" s="218">
        <f>SUM(E47:E51)</f>
        <v>1387.1394740000003</v>
      </c>
      <c r="F52" s="218">
        <f>SUM(F47:F51)</f>
        <v>94.214542</v>
      </c>
      <c r="G52" s="218">
        <f>SUM(G47:G51)</f>
        <v>137.54504164999997</v>
      </c>
    </row>
    <row r="53" spans="1:7" ht="12.75">
      <c r="A53" s="232" t="s">
        <v>93</v>
      </c>
      <c r="B53" s="231"/>
      <c r="C53" s="231">
        <v>550</v>
      </c>
      <c r="D53" s="231">
        <v>75</v>
      </c>
      <c r="E53" s="231">
        <v>100</v>
      </c>
      <c r="F53" s="231">
        <v>150</v>
      </c>
      <c r="G53" s="231">
        <v>150</v>
      </c>
    </row>
    <row r="54" spans="1:7" ht="12.75">
      <c r="A54" s="232" t="s">
        <v>94</v>
      </c>
      <c r="B54" s="231"/>
      <c r="C54" s="233" t="str">
        <f>IF(C52&gt;C53,"Yes","No")</f>
        <v>Yes</v>
      </c>
      <c r="D54" s="233" t="str">
        <f>IF(D52&gt;D53,"Yes","No")</f>
        <v>Yes</v>
      </c>
      <c r="E54" s="233" t="str">
        <f>IF(E52&gt;E53,"Yes","No")</f>
        <v>Yes</v>
      </c>
      <c r="F54" s="233" t="str">
        <f>IF(F52&gt;F53,"Yes","No")</f>
        <v>No</v>
      </c>
      <c r="G54" s="233" t="str">
        <f>IF(G52&gt;G53,"Yes","No")</f>
        <v>No</v>
      </c>
    </row>
    <row r="55" spans="1:7" ht="13.5" thickBot="1">
      <c r="A55" s="234"/>
      <c r="B55" s="238"/>
      <c r="C55" s="239"/>
      <c r="D55" s="239"/>
      <c r="E55" s="239"/>
      <c r="F55" s="239"/>
      <c r="G55" s="239"/>
    </row>
    <row r="56" spans="1:7" ht="13.5" thickTop="1">
      <c r="A56" s="340" t="s">
        <v>88</v>
      </c>
      <c r="B56" s="341"/>
      <c r="C56" s="344" t="s">
        <v>177</v>
      </c>
      <c r="D56" s="345"/>
      <c r="E56" s="345"/>
      <c r="F56" s="346"/>
      <c r="G56" s="347"/>
    </row>
    <row r="57" spans="1:7" ht="13.5" thickBot="1">
      <c r="A57" s="342"/>
      <c r="B57" s="343"/>
      <c r="C57" s="229" t="s">
        <v>0</v>
      </c>
      <c r="D57" s="229" t="s">
        <v>1</v>
      </c>
      <c r="E57" s="229" t="s">
        <v>2</v>
      </c>
      <c r="F57" s="229" t="s">
        <v>6</v>
      </c>
      <c r="G57" s="230" t="s">
        <v>3</v>
      </c>
    </row>
    <row r="58" spans="1:7" ht="13.5" thickTop="1">
      <c r="A58" s="231"/>
      <c r="B58" s="231"/>
      <c r="C58" s="231"/>
      <c r="D58" s="231"/>
      <c r="E58" s="231"/>
      <c r="F58" s="231"/>
      <c r="G58" s="231"/>
    </row>
    <row r="59" spans="1:7" ht="12.75">
      <c r="A59" s="232"/>
      <c r="B59" s="231"/>
      <c r="C59" s="231"/>
      <c r="D59" s="231"/>
      <c r="E59" s="231"/>
      <c r="F59" s="231"/>
      <c r="G59" s="231"/>
    </row>
    <row r="60" spans="1:7" ht="12.75">
      <c r="A60" s="231" t="s">
        <v>56</v>
      </c>
      <c r="B60" s="231"/>
      <c r="C60" s="218">
        <f>'ConstEquip 02-08'!J23</f>
        <v>534.75812</v>
      </c>
      <c r="D60" s="218">
        <f>'ConstEquip 02-08'!K23</f>
        <v>140.995</v>
      </c>
      <c r="E60" s="218">
        <f>'ConstEquip 02-08'!L23</f>
        <v>1302.9434</v>
      </c>
      <c r="F60" s="218">
        <f>'ConstEquip 02-08'!M23</f>
        <v>94.46248</v>
      </c>
      <c r="G60" s="218">
        <f>'ConstEquip 02-08'!N23</f>
        <v>73.21799999999999</v>
      </c>
    </row>
    <row r="61" spans="1:7" ht="12.75">
      <c r="A61" s="231" t="s">
        <v>89</v>
      </c>
      <c r="B61" s="231"/>
      <c r="C61" s="218">
        <f>'ConstTripEmiss 02-08'!G20</f>
        <v>357.47288719999995</v>
      </c>
      <c r="D61" s="218">
        <f>'ConstTripEmiss 02-08'!H20</f>
        <v>40.406464799999995</v>
      </c>
      <c r="E61" s="218">
        <f>'ConstTripEmiss 02-08'!I20</f>
        <v>88.631322</v>
      </c>
      <c r="F61" s="218">
        <f>'ConstTripEmiss 02-08'!J20</f>
        <v>0.3219996</v>
      </c>
      <c r="G61" s="218">
        <f>'ConstTripEmiss 02-08'!K20</f>
        <v>3.1595459999999997</v>
      </c>
    </row>
    <row r="62" spans="1:7" ht="12.75">
      <c r="A62" s="231" t="s">
        <v>7</v>
      </c>
      <c r="B62" s="231"/>
      <c r="C62" s="218">
        <v>0</v>
      </c>
      <c r="D62" s="218">
        <v>0</v>
      </c>
      <c r="E62" s="218">
        <v>0</v>
      </c>
      <c r="F62" s="218">
        <v>0</v>
      </c>
      <c r="G62" s="218">
        <f>'FugitiveConstEF 02-08'!J30</f>
        <v>0</v>
      </c>
    </row>
    <row r="63" spans="1:7" ht="12.75">
      <c r="A63" s="231" t="s">
        <v>92</v>
      </c>
      <c r="B63" s="231"/>
      <c r="C63" s="218">
        <v>0</v>
      </c>
      <c r="D63" s="218">
        <v>0</v>
      </c>
      <c r="E63" s="218">
        <v>0</v>
      </c>
      <c r="F63" s="218">
        <v>0</v>
      </c>
      <c r="G63" s="218">
        <f>'FugitiveEmiss 02-08'!K19</f>
        <v>58.6820664</v>
      </c>
    </row>
    <row r="64" spans="1:7" ht="12.75">
      <c r="A64" s="231" t="s">
        <v>122</v>
      </c>
      <c r="B64" s="231"/>
      <c r="C64" s="218">
        <v>0</v>
      </c>
      <c r="D64" s="218">
        <f>'Fugitive Paint'!B38</f>
        <v>42.12</v>
      </c>
      <c r="E64" s="218">
        <v>0</v>
      </c>
      <c r="F64" s="218">
        <v>0</v>
      </c>
      <c r="G64" s="218">
        <v>0</v>
      </c>
    </row>
    <row r="65" spans="1:7" ht="12.75">
      <c r="A65" s="232" t="s">
        <v>64</v>
      </c>
      <c r="B65" s="231"/>
      <c r="C65" s="241">
        <f>SUM(C60:C64)</f>
        <v>892.2310071999999</v>
      </c>
      <c r="D65" s="241">
        <f>SUM(D60:D64)</f>
        <v>223.5214648</v>
      </c>
      <c r="E65" s="241">
        <f>SUM(E60:E64)</f>
        <v>1391.574722</v>
      </c>
      <c r="F65" s="241">
        <f>SUM(F60:F64)</f>
        <v>94.7844796</v>
      </c>
      <c r="G65" s="218">
        <f>SUM(G60:G64)</f>
        <v>135.0596124</v>
      </c>
    </row>
    <row r="66" spans="1:7" ht="12.75">
      <c r="A66" s="232" t="s">
        <v>93</v>
      </c>
      <c r="B66" s="231"/>
      <c r="C66" s="231">
        <v>550</v>
      </c>
      <c r="D66" s="231">
        <v>75</v>
      </c>
      <c r="E66" s="231">
        <v>100</v>
      </c>
      <c r="F66" s="231">
        <v>150</v>
      </c>
      <c r="G66" s="231">
        <v>150</v>
      </c>
    </row>
    <row r="67" spans="1:7" ht="12.75">
      <c r="A67" s="232" t="s">
        <v>94</v>
      </c>
      <c r="B67" s="231"/>
      <c r="C67" s="233" t="str">
        <f>IF(C65&gt;C66,"Yes","No")</f>
        <v>Yes</v>
      </c>
      <c r="D67" s="233" t="str">
        <f>IF(D65&gt;D66,"Yes","No")</f>
        <v>Yes</v>
      </c>
      <c r="E67" s="233" t="str">
        <f>IF(E65&gt;E66,"Yes","No")</f>
        <v>Yes</v>
      </c>
      <c r="F67" s="233" t="str">
        <f>IF(F65&gt;F66,"Yes","No")</f>
        <v>No</v>
      </c>
      <c r="G67" s="233" t="str">
        <f>IF(G65&gt;G66,"Yes","No")</f>
        <v>No</v>
      </c>
    </row>
    <row r="68" spans="1:7" ht="12.75">
      <c r="A68" s="234"/>
      <c r="B68" s="238"/>
      <c r="C68" s="239"/>
      <c r="D68" s="239"/>
      <c r="E68" s="239"/>
      <c r="F68" s="239"/>
      <c r="G68" s="239"/>
    </row>
    <row r="69" spans="2:3" ht="12.75">
      <c r="B69" s="240"/>
      <c r="C69" s="228" t="s">
        <v>127</v>
      </c>
    </row>
    <row r="71" spans="3:4" ht="12.75">
      <c r="C71" s="348" t="s">
        <v>212</v>
      </c>
      <c r="D71" s="348"/>
    </row>
  </sheetData>
  <sheetProtection/>
  <mergeCells count="12">
    <mergeCell ref="C71:D71"/>
    <mergeCell ref="A1:G1"/>
    <mergeCell ref="A30:B31"/>
    <mergeCell ref="C30:G30"/>
    <mergeCell ref="A43:B44"/>
    <mergeCell ref="C43:G43"/>
    <mergeCell ref="A4:B5"/>
    <mergeCell ref="C4:G4"/>
    <mergeCell ref="A17:B18"/>
    <mergeCell ref="C17:G17"/>
    <mergeCell ref="A56:B57"/>
    <mergeCell ref="C56:G56"/>
  </mergeCells>
  <printOptions horizontalCentered="1"/>
  <pageMargins left="0.75" right="0.75" top="0.75" bottom="1" header="0.5" footer="0.5"/>
  <pageSetup fitToHeight="1" fitToWidth="1" horizontalDpi="600" verticalDpi="600" orientation="portrait" scale="70" r:id="rId1"/>
  <headerFooter alignWithMargins="0">
    <oddHeader>&amp;C&amp;"Arial,Bold"&amp;16Table C-23</oddHeader>
    <oddFooter>&amp;L&amp;8M:\MC\2393 BP\EIR\&amp;F:&amp;A&amp;R&amp;8&amp;D&amp;10
</oddFooter>
  </headerFooter>
  <rowBreaks count="1" manualBreakCount="1">
    <brk id="7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O29"/>
  <sheetViews>
    <sheetView zoomScale="85" zoomScaleNormal="85" zoomScalePageLayoutView="0" workbookViewId="0" topLeftCell="A7">
      <selection activeCell="A27" sqref="A27:A29"/>
    </sheetView>
  </sheetViews>
  <sheetFormatPr defaultColWidth="9.140625" defaultRowHeight="12.75"/>
  <cols>
    <col min="2" max="2" width="36.7109375" style="0" customWidth="1"/>
    <col min="3" max="3" width="9.7109375" style="112" customWidth="1"/>
    <col min="7" max="7" width="9.00390625" style="0" customWidth="1"/>
  </cols>
  <sheetData>
    <row r="1" ht="12" customHeight="1"/>
    <row r="2" spans="2:14" ht="15.75" customHeight="1">
      <c r="B2" s="254" t="s">
        <v>56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3.5" thickBot="1"/>
    <row r="4" spans="2:15" ht="15.75" thickTop="1">
      <c r="B4" s="61" t="s">
        <v>57</v>
      </c>
      <c r="C4" s="144"/>
      <c r="D4" s="62"/>
      <c r="E4" s="206"/>
      <c r="F4" s="209"/>
      <c r="G4" s="157" t="s">
        <v>149</v>
      </c>
      <c r="H4" s="157"/>
      <c r="I4" s="26"/>
      <c r="J4" s="210"/>
      <c r="K4" s="255" t="s">
        <v>152</v>
      </c>
      <c r="L4" s="256"/>
      <c r="M4" s="256"/>
      <c r="N4" s="256"/>
      <c r="O4" s="257"/>
    </row>
    <row r="5" spans="2:15" ht="15.75" thickBot="1">
      <c r="B5" s="63" t="s">
        <v>5</v>
      </c>
      <c r="C5" s="148" t="s">
        <v>39</v>
      </c>
      <c r="D5" s="69" t="s">
        <v>147</v>
      </c>
      <c r="E5" s="207" t="s">
        <v>148</v>
      </c>
      <c r="F5" s="170" t="s">
        <v>0</v>
      </c>
      <c r="G5" s="64" t="s">
        <v>1</v>
      </c>
      <c r="H5" s="64" t="s">
        <v>2</v>
      </c>
      <c r="I5" s="64" t="s">
        <v>6</v>
      </c>
      <c r="J5" s="177" t="s">
        <v>3</v>
      </c>
      <c r="K5" s="170" t="s">
        <v>0</v>
      </c>
      <c r="L5" s="64" t="s">
        <v>1</v>
      </c>
      <c r="M5" s="64" t="s">
        <v>2</v>
      </c>
      <c r="N5" s="64" t="s">
        <v>6</v>
      </c>
      <c r="O5" s="177" t="s">
        <v>3</v>
      </c>
    </row>
    <row r="6" spans="2:15" ht="13.5" thickTop="1">
      <c r="B6" s="65" t="s">
        <v>133</v>
      </c>
      <c r="C6" s="145" t="s">
        <v>48</v>
      </c>
      <c r="D6" s="66">
        <v>75</v>
      </c>
      <c r="E6" s="220">
        <v>0.465</v>
      </c>
      <c r="F6" s="171">
        <v>0.015</v>
      </c>
      <c r="G6" s="120">
        <v>0.003</v>
      </c>
      <c r="H6" s="120">
        <v>0.022</v>
      </c>
      <c r="I6" s="120">
        <v>0.002</v>
      </c>
      <c r="J6" s="172">
        <v>0.001</v>
      </c>
      <c r="K6" s="175">
        <f>F6*$D6*$E6</f>
        <v>0.5231250000000001</v>
      </c>
      <c r="L6" s="121">
        <f>G6*$D6*$E6</f>
        <v>0.10462500000000001</v>
      </c>
      <c r="M6" s="121">
        <f>H6*$D6*$E6</f>
        <v>0.76725</v>
      </c>
      <c r="N6" s="121">
        <f>I6*$D6*$E6</f>
        <v>0.06975</v>
      </c>
      <c r="O6" s="176">
        <f>J6*$D6*$E6</f>
        <v>0.034875</v>
      </c>
    </row>
    <row r="7" spans="2:15" ht="12.75">
      <c r="B7" s="65" t="s">
        <v>134</v>
      </c>
      <c r="C7" s="145" t="s">
        <v>48</v>
      </c>
      <c r="D7" s="66">
        <v>75</v>
      </c>
      <c r="E7" s="220">
        <v>0.465</v>
      </c>
      <c r="F7" s="171">
        <v>0.015</v>
      </c>
      <c r="G7" s="120">
        <v>0.003</v>
      </c>
      <c r="H7" s="120">
        <v>0.022</v>
      </c>
      <c r="I7" s="120">
        <v>0.002</v>
      </c>
      <c r="J7" s="172">
        <v>0.001</v>
      </c>
      <c r="K7" s="175">
        <f aca="true" t="shared" si="0" ref="K7:K17">F7*$D7*$E7</f>
        <v>0.5231250000000001</v>
      </c>
      <c r="L7" s="121">
        <f aca="true" t="shared" si="1" ref="L7:L17">G7*$D7*$E7</f>
        <v>0.10462500000000001</v>
      </c>
      <c r="M7" s="121">
        <f aca="true" t="shared" si="2" ref="M7:M17">H7*$D7*$E7</f>
        <v>0.76725</v>
      </c>
      <c r="N7" s="121">
        <f aca="true" t="shared" si="3" ref="N7:N17">I7*$D7*$E7</f>
        <v>0.06975</v>
      </c>
      <c r="O7" s="176">
        <f aca="true" t="shared" si="4" ref="O7:O17">J7*$D7*$E7</f>
        <v>0.034875</v>
      </c>
    </row>
    <row r="8" spans="2:15" ht="12.75">
      <c r="B8" s="65" t="s">
        <v>140</v>
      </c>
      <c r="C8" s="146" t="s">
        <v>48</v>
      </c>
      <c r="D8" s="15">
        <v>49</v>
      </c>
      <c r="E8" s="220">
        <v>0.48</v>
      </c>
      <c r="F8" s="171">
        <v>0.011</v>
      </c>
      <c r="G8" s="120">
        <v>0.002</v>
      </c>
      <c r="H8" s="120">
        <v>0.018</v>
      </c>
      <c r="I8" s="120">
        <v>0.002</v>
      </c>
      <c r="J8" s="172">
        <v>0.001</v>
      </c>
      <c r="K8" s="175">
        <f t="shared" si="0"/>
        <v>0.25871999999999995</v>
      </c>
      <c r="L8" s="121">
        <f t="shared" si="1"/>
        <v>0.04704</v>
      </c>
      <c r="M8" s="121">
        <f t="shared" si="2"/>
        <v>0.42335999999999996</v>
      </c>
      <c r="N8" s="121">
        <f t="shared" si="3"/>
        <v>0.04704</v>
      </c>
      <c r="O8" s="176">
        <f t="shared" si="4"/>
        <v>0.02352</v>
      </c>
    </row>
    <row r="9" spans="2:15" ht="12.75">
      <c r="B9" s="65" t="s">
        <v>141</v>
      </c>
      <c r="C9" s="146" t="s">
        <v>46</v>
      </c>
      <c r="D9" s="15">
        <v>13</v>
      </c>
      <c r="E9" s="220">
        <v>0.78</v>
      </c>
      <c r="F9" s="171">
        <v>0.003</v>
      </c>
      <c r="G9" s="120">
        <v>0.043</v>
      </c>
      <c r="H9" s="120">
        <v>0.004</v>
      </c>
      <c r="I9" s="120">
        <v>0.0005</v>
      </c>
      <c r="J9" s="172">
        <v>0.00025</v>
      </c>
      <c r="K9" s="175">
        <f t="shared" si="0"/>
        <v>0.030420000000000003</v>
      </c>
      <c r="L9" s="121">
        <f t="shared" si="1"/>
        <v>0.43601999999999996</v>
      </c>
      <c r="M9" s="121">
        <f t="shared" si="2"/>
        <v>0.040560000000000006</v>
      </c>
      <c r="N9" s="121">
        <f t="shared" si="3"/>
        <v>0.005070000000000001</v>
      </c>
      <c r="O9" s="176">
        <f t="shared" si="4"/>
        <v>0.0025350000000000004</v>
      </c>
    </row>
    <row r="10" spans="2:15" ht="12.75">
      <c r="B10" s="65" t="s">
        <v>139</v>
      </c>
      <c r="C10" s="146" t="s">
        <v>48</v>
      </c>
      <c r="D10" s="15">
        <v>250</v>
      </c>
      <c r="E10" s="220">
        <v>0.43</v>
      </c>
      <c r="F10" s="171">
        <v>0.009</v>
      </c>
      <c r="G10" s="120">
        <v>0.003</v>
      </c>
      <c r="H10" s="120">
        <v>0.023</v>
      </c>
      <c r="I10" s="120">
        <v>0.002</v>
      </c>
      <c r="J10" s="172">
        <v>0.0015</v>
      </c>
      <c r="K10" s="171">
        <f aca="true" t="shared" si="5" ref="K10:O11">F10*$D10*$E10</f>
        <v>0.9675</v>
      </c>
      <c r="L10" s="120">
        <f t="shared" si="5"/>
        <v>0.3225</v>
      </c>
      <c r="M10" s="120">
        <f t="shared" si="5"/>
        <v>2.4725</v>
      </c>
      <c r="N10" s="120">
        <f t="shared" si="5"/>
        <v>0.215</v>
      </c>
      <c r="O10" s="172">
        <f t="shared" si="5"/>
        <v>0.16125</v>
      </c>
    </row>
    <row r="11" spans="2:15" ht="12.75">
      <c r="B11" s="65" t="s">
        <v>144</v>
      </c>
      <c r="C11" s="146" t="s">
        <v>48</v>
      </c>
      <c r="D11" s="15">
        <v>408</v>
      </c>
      <c r="E11" s="220">
        <v>0.43</v>
      </c>
      <c r="F11" s="171">
        <v>0.009</v>
      </c>
      <c r="G11" s="120">
        <v>0.003</v>
      </c>
      <c r="H11" s="120">
        <v>0.023</v>
      </c>
      <c r="I11" s="120">
        <v>0.002</v>
      </c>
      <c r="J11" s="172">
        <v>0.0015</v>
      </c>
      <c r="K11" s="171">
        <f t="shared" si="5"/>
        <v>1.57896</v>
      </c>
      <c r="L11" s="120">
        <f t="shared" si="5"/>
        <v>0.52632</v>
      </c>
      <c r="M11" s="120">
        <f t="shared" si="5"/>
        <v>4.03512</v>
      </c>
      <c r="N11" s="120">
        <f t="shared" si="5"/>
        <v>0.35088</v>
      </c>
      <c r="O11" s="172">
        <f t="shared" si="5"/>
        <v>0.26316</v>
      </c>
    </row>
    <row r="12" spans="2:15" ht="12.75">
      <c r="B12" s="65" t="s">
        <v>135</v>
      </c>
      <c r="C12" s="146" t="s">
        <v>48</v>
      </c>
      <c r="D12" s="15">
        <v>300</v>
      </c>
      <c r="E12" s="221">
        <v>0.43</v>
      </c>
      <c r="F12" s="171">
        <v>0.02</v>
      </c>
      <c r="G12" s="120">
        <v>0.003</v>
      </c>
      <c r="H12" s="120">
        <v>0.024</v>
      </c>
      <c r="I12" s="120">
        <v>0.002</v>
      </c>
      <c r="J12" s="172">
        <v>0.0015</v>
      </c>
      <c r="K12" s="175">
        <f t="shared" si="0"/>
        <v>2.58</v>
      </c>
      <c r="L12" s="121">
        <f t="shared" si="1"/>
        <v>0.387</v>
      </c>
      <c r="M12" s="121">
        <f t="shared" si="2"/>
        <v>3.096</v>
      </c>
      <c r="N12" s="121">
        <f t="shared" si="3"/>
        <v>0.258</v>
      </c>
      <c r="O12" s="176">
        <f t="shared" si="4"/>
        <v>0.1935</v>
      </c>
    </row>
    <row r="13" spans="2:15" ht="12.75">
      <c r="B13" s="65" t="s">
        <v>110</v>
      </c>
      <c r="C13" s="146" t="s">
        <v>48</v>
      </c>
      <c r="D13" s="15">
        <v>250</v>
      </c>
      <c r="E13" s="221">
        <v>0.58</v>
      </c>
      <c r="F13" s="171">
        <v>0.011</v>
      </c>
      <c r="G13" s="120">
        <v>0.001</v>
      </c>
      <c r="H13" s="120">
        <v>0.024</v>
      </c>
      <c r="I13" s="120">
        <v>0.002</v>
      </c>
      <c r="J13" s="172">
        <v>0.0015</v>
      </c>
      <c r="K13" s="175">
        <f t="shared" si="0"/>
        <v>1.595</v>
      </c>
      <c r="L13" s="121">
        <f t="shared" si="1"/>
        <v>0.145</v>
      </c>
      <c r="M13" s="121">
        <f t="shared" si="2"/>
        <v>3.4799999999999995</v>
      </c>
      <c r="N13" s="121">
        <f t="shared" si="3"/>
        <v>0.29</v>
      </c>
      <c r="O13" s="176">
        <f t="shared" si="4"/>
        <v>0.21749999999999997</v>
      </c>
    </row>
    <row r="14" spans="2:15" ht="12.75">
      <c r="B14" s="65" t="s">
        <v>145</v>
      </c>
      <c r="C14" s="146" t="s">
        <v>48</v>
      </c>
      <c r="D14" s="15">
        <v>79</v>
      </c>
      <c r="E14" s="220">
        <v>0.3</v>
      </c>
      <c r="F14" s="171">
        <v>0.013</v>
      </c>
      <c r="G14" s="120">
        <v>0.003</v>
      </c>
      <c r="H14" s="120">
        <v>0.031</v>
      </c>
      <c r="I14" s="120">
        <v>0.002</v>
      </c>
      <c r="J14" s="172">
        <v>0.0015</v>
      </c>
      <c r="K14" s="175">
        <f t="shared" si="0"/>
        <v>0.3081</v>
      </c>
      <c r="L14" s="121">
        <f t="shared" si="1"/>
        <v>0.0711</v>
      </c>
      <c r="M14" s="121">
        <f t="shared" si="2"/>
        <v>0.7346999999999999</v>
      </c>
      <c r="N14" s="121">
        <f t="shared" si="3"/>
        <v>0.0474</v>
      </c>
      <c r="O14" s="176">
        <f t="shared" si="4"/>
        <v>0.03555</v>
      </c>
    </row>
    <row r="15" spans="2:15" ht="12.75">
      <c r="B15" s="65" t="s">
        <v>62</v>
      </c>
      <c r="C15" s="146" t="s">
        <v>48</v>
      </c>
      <c r="D15" s="15">
        <v>210</v>
      </c>
      <c r="E15" s="220">
        <v>0.465</v>
      </c>
      <c r="F15" s="171">
        <v>0.015</v>
      </c>
      <c r="G15" s="120">
        <v>0.003</v>
      </c>
      <c r="H15" s="120">
        <v>0.022</v>
      </c>
      <c r="I15" s="120">
        <v>0.002</v>
      </c>
      <c r="J15" s="172">
        <v>0.001</v>
      </c>
      <c r="K15" s="171">
        <f>F15*$D15*$E15</f>
        <v>1.46475</v>
      </c>
      <c r="L15" s="120">
        <f>G15*$D15*$E15</f>
        <v>0.29295000000000004</v>
      </c>
      <c r="M15" s="120">
        <f>H15*$D15*$E15</f>
        <v>2.1483000000000003</v>
      </c>
      <c r="N15" s="120">
        <f>I15*$D15*$E15</f>
        <v>0.1953</v>
      </c>
      <c r="O15" s="172">
        <f>J15*$D15*$E15</f>
        <v>0.09765</v>
      </c>
    </row>
    <row r="16" spans="2:15" ht="12.75" customHeight="1">
      <c r="B16" s="65" t="s">
        <v>165</v>
      </c>
      <c r="C16" s="146" t="s">
        <v>48</v>
      </c>
      <c r="D16" s="15">
        <v>250</v>
      </c>
      <c r="E16" s="220"/>
      <c r="F16" s="171"/>
      <c r="G16" s="120"/>
      <c r="H16" s="120"/>
      <c r="I16" s="120"/>
      <c r="J16" s="172"/>
      <c r="K16" s="175">
        <v>0.635</v>
      </c>
      <c r="L16" s="121">
        <v>0.176</v>
      </c>
      <c r="M16" s="121">
        <v>2.499</v>
      </c>
      <c r="N16" s="121">
        <v>0.002</v>
      </c>
      <c r="O16" s="176">
        <v>0.086</v>
      </c>
    </row>
    <row r="17" spans="2:15" ht="12.75">
      <c r="B17" s="65" t="s">
        <v>142</v>
      </c>
      <c r="C17" s="146" t="s">
        <v>48</v>
      </c>
      <c r="D17" s="15">
        <v>65</v>
      </c>
      <c r="E17" s="220">
        <v>0.505</v>
      </c>
      <c r="F17" s="171">
        <v>0.013</v>
      </c>
      <c r="G17" s="120">
        <v>0.003</v>
      </c>
      <c r="H17" s="120">
        <v>0.031</v>
      </c>
      <c r="I17" s="120">
        <v>0.002</v>
      </c>
      <c r="J17" s="172">
        <v>0.002</v>
      </c>
      <c r="K17" s="175">
        <f t="shared" si="0"/>
        <v>0.42672499999999997</v>
      </c>
      <c r="L17" s="121">
        <f t="shared" si="1"/>
        <v>0.09847500000000001</v>
      </c>
      <c r="M17" s="121">
        <f t="shared" si="2"/>
        <v>1.0175750000000001</v>
      </c>
      <c r="N17" s="121">
        <f t="shared" si="3"/>
        <v>0.06565</v>
      </c>
      <c r="O17" s="176">
        <f t="shared" si="4"/>
        <v>0.06565</v>
      </c>
    </row>
    <row r="18" spans="2:15" ht="15">
      <c r="B18" s="65" t="s">
        <v>166</v>
      </c>
      <c r="C18" s="146" t="s">
        <v>48</v>
      </c>
      <c r="D18" s="15"/>
      <c r="E18" s="220"/>
      <c r="F18" s="171"/>
      <c r="G18" s="120"/>
      <c r="H18" s="120"/>
      <c r="I18" s="120"/>
      <c r="J18" s="172"/>
      <c r="K18" s="171">
        <v>1.8</v>
      </c>
      <c r="L18" s="120">
        <v>0.19</v>
      </c>
      <c r="M18" s="120">
        <v>4.17</v>
      </c>
      <c r="N18" s="120">
        <v>0.45</v>
      </c>
      <c r="O18" s="172">
        <v>0.26</v>
      </c>
    </row>
    <row r="19" spans="2:15" ht="12.75">
      <c r="B19" s="65" t="s">
        <v>136</v>
      </c>
      <c r="C19" s="146" t="s">
        <v>48</v>
      </c>
      <c r="D19" s="15">
        <v>13</v>
      </c>
      <c r="E19" s="220">
        <v>0.82</v>
      </c>
      <c r="F19" s="171">
        <v>0.011</v>
      </c>
      <c r="G19" s="120">
        <v>0.002</v>
      </c>
      <c r="H19" s="120">
        <v>0.018</v>
      </c>
      <c r="I19" s="120">
        <v>0.002</v>
      </c>
      <c r="J19" s="172">
        <v>0.001</v>
      </c>
      <c r="K19" s="171">
        <f aca="true" t="shared" si="6" ref="K19:O22">F19*$D19*$E19</f>
        <v>0.11725999999999999</v>
      </c>
      <c r="L19" s="120">
        <f t="shared" si="6"/>
        <v>0.021320000000000002</v>
      </c>
      <c r="M19" s="120">
        <f t="shared" si="6"/>
        <v>0.19187999999999997</v>
      </c>
      <c r="N19" s="120">
        <f t="shared" si="6"/>
        <v>0.021320000000000002</v>
      </c>
      <c r="O19" s="172">
        <f t="shared" si="6"/>
        <v>0.010660000000000001</v>
      </c>
    </row>
    <row r="20" spans="2:15" ht="12.75" customHeight="1">
      <c r="B20" s="65" t="s">
        <v>137</v>
      </c>
      <c r="C20" s="146" t="s">
        <v>48</v>
      </c>
      <c r="D20" s="15">
        <v>185</v>
      </c>
      <c r="E20" s="220">
        <v>0.465</v>
      </c>
      <c r="F20" s="171">
        <v>0.015</v>
      </c>
      <c r="G20" s="120">
        <v>0.003</v>
      </c>
      <c r="H20" s="120">
        <v>0.022</v>
      </c>
      <c r="I20" s="120">
        <v>0.002</v>
      </c>
      <c r="J20" s="172">
        <v>0.001</v>
      </c>
      <c r="K20" s="171">
        <f t="shared" si="6"/>
        <v>1.290375</v>
      </c>
      <c r="L20" s="120">
        <f t="shared" si="6"/>
        <v>0.25807500000000005</v>
      </c>
      <c r="M20" s="120">
        <f t="shared" si="6"/>
        <v>1.8925499999999997</v>
      </c>
      <c r="N20" s="120">
        <f t="shared" si="6"/>
        <v>0.17205</v>
      </c>
      <c r="O20" s="172">
        <f t="shared" si="6"/>
        <v>0.086025</v>
      </c>
    </row>
    <row r="21" spans="2:15" ht="12.75" customHeight="1">
      <c r="B21" s="150" t="s">
        <v>143</v>
      </c>
      <c r="C21" s="151" t="s">
        <v>48</v>
      </c>
      <c r="D21" s="132">
        <v>207</v>
      </c>
      <c r="E21" s="222">
        <v>0.38</v>
      </c>
      <c r="F21" s="211">
        <v>0.01</v>
      </c>
      <c r="G21" s="131">
        <v>0.002</v>
      </c>
      <c r="H21" s="130">
        <v>0.024</v>
      </c>
      <c r="I21" s="120">
        <v>0.002</v>
      </c>
      <c r="J21" s="172">
        <v>0.001</v>
      </c>
      <c r="K21" s="171">
        <f t="shared" si="6"/>
        <v>0.7866</v>
      </c>
      <c r="L21" s="120">
        <f t="shared" si="6"/>
        <v>0.15732000000000002</v>
      </c>
      <c r="M21" s="120">
        <f t="shared" si="6"/>
        <v>1.88784</v>
      </c>
      <c r="N21" s="120">
        <f t="shared" si="6"/>
        <v>0.15732000000000002</v>
      </c>
      <c r="O21" s="172">
        <f t="shared" si="6"/>
        <v>0.07866000000000001</v>
      </c>
    </row>
    <row r="22" spans="2:15" ht="13.5" thickBot="1">
      <c r="B22" s="67" t="s">
        <v>138</v>
      </c>
      <c r="C22" s="147" t="s">
        <v>48</v>
      </c>
      <c r="D22" s="149">
        <v>49</v>
      </c>
      <c r="E22" s="223">
        <v>0.45</v>
      </c>
      <c r="F22" s="173">
        <v>0.011</v>
      </c>
      <c r="G22" s="122">
        <v>0.002</v>
      </c>
      <c r="H22" s="122">
        <v>0.018</v>
      </c>
      <c r="I22" s="122">
        <v>0.002</v>
      </c>
      <c r="J22" s="174">
        <v>0.001</v>
      </c>
      <c r="K22" s="173">
        <f t="shared" si="6"/>
        <v>0.24254999999999996</v>
      </c>
      <c r="L22" s="122">
        <f t="shared" si="6"/>
        <v>0.0441</v>
      </c>
      <c r="M22" s="122">
        <f t="shared" si="6"/>
        <v>0.3969</v>
      </c>
      <c r="N22" s="122">
        <f t="shared" si="6"/>
        <v>0.0441</v>
      </c>
      <c r="O22" s="174">
        <f t="shared" si="6"/>
        <v>0.02205</v>
      </c>
    </row>
    <row r="23" spans="10:14" ht="12.75">
      <c r="J23" s="19"/>
      <c r="K23" s="19"/>
      <c r="L23" s="19"/>
      <c r="M23" s="19"/>
      <c r="N23" s="19"/>
    </row>
    <row r="24" spans="2:14" ht="12.75">
      <c r="B24" s="10" t="s">
        <v>150</v>
      </c>
      <c r="J24" s="19"/>
      <c r="K24" s="19"/>
      <c r="L24" s="19"/>
      <c r="M24" s="19"/>
      <c r="N24" s="19"/>
    </row>
    <row r="25" spans="2:14" ht="12.75">
      <c r="B25" s="10" t="s">
        <v>151</v>
      </c>
      <c r="J25" s="19"/>
      <c r="K25" s="19"/>
      <c r="L25" s="19"/>
      <c r="M25" s="19"/>
      <c r="N25" s="19"/>
    </row>
    <row r="26" ht="12.75">
      <c r="B26" s="10" t="s">
        <v>153</v>
      </c>
    </row>
    <row r="27" spans="1:2" ht="12.75" customHeight="1">
      <c r="A27" s="258" t="s">
        <v>190</v>
      </c>
      <c r="B27" s="10" t="s">
        <v>168</v>
      </c>
    </row>
    <row r="28" spans="1:14" ht="12.75">
      <c r="A28" s="258"/>
      <c r="B28" s="10" t="s">
        <v>167</v>
      </c>
      <c r="N28" s="53"/>
    </row>
    <row r="29" spans="1:2" ht="12.75">
      <c r="A29" s="258"/>
      <c r="B29" s="10"/>
    </row>
  </sheetData>
  <sheetProtection/>
  <mergeCells count="3">
    <mergeCell ref="B2:N2"/>
    <mergeCell ref="K4:O4"/>
    <mergeCell ref="A27:A29"/>
  </mergeCells>
  <conditionalFormatting sqref="M23:N25 J23:J25">
    <cfRule type="cellIs" priority="1" dxfId="0" operator="greaterThanOrEqual" stopIfTrue="1">
      <formula>#REF!</formula>
    </cfRule>
  </conditionalFormatting>
  <conditionalFormatting sqref="L23:L25">
    <cfRule type="cellIs" priority="2" dxfId="0" operator="greaterThanOrEqual" stopIfTrue="1">
      <formula>#REF!</formula>
    </cfRule>
  </conditionalFormatting>
  <conditionalFormatting sqref="K23:K25">
    <cfRule type="cellIs" priority="3" dxfId="0" operator="greaterThanOrEqual" stopIfTrue="1">
      <formula>#REF!</formula>
    </cfRule>
  </conditionalFormatting>
  <printOptions horizontalCentered="1"/>
  <pageMargins left="0.75" right="0.75" top="1" bottom="1" header="0.5" footer="0.5"/>
  <pageSetup fitToHeight="1" fitToWidth="1" horizontalDpi="300" verticalDpi="300" orientation="landscape" scale="74" r:id="rId1"/>
  <headerFooter alignWithMargins="0">
    <oddHeader>&amp;C&amp;"Arial,Bold"&amp;16Table C-1
Construction Equipment Emission Factors
</oddHeader>
    <oddFooter>&amp;L&amp;8M:\MC\2393 BP\EIR\&amp;F:&amp;A&amp;R&amp;8&amp;D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N31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2" max="2" width="36.7109375" style="0" customWidth="1"/>
    <col min="3" max="3" width="9.7109375" style="112" customWidth="1"/>
    <col min="7" max="7" width="9.00390625" style="0" customWidth="1"/>
  </cols>
  <sheetData>
    <row r="1" ht="12" customHeight="1"/>
    <row r="2" spans="1:14" ht="15.75" customHeight="1">
      <c r="A2" s="254" t="s">
        <v>178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3.5" thickBot="1"/>
    <row r="4" spans="2:14" ht="12.75">
      <c r="B4" s="153" t="s">
        <v>57</v>
      </c>
      <c r="C4" s="154"/>
      <c r="D4" s="212" t="s">
        <v>58</v>
      </c>
      <c r="E4" s="209"/>
      <c r="F4" s="157" t="s">
        <v>59</v>
      </c>
      <c r="G4" s="157"/>
      <c r="H4" s="26"/>
      <c r="I4" s="210"/>
      <c r="J4" s="259" t="s">
        <v>60</v>
      </c>
      <c r="K4" s="260"/>
      <c r="L4" s="260"/>
      <c r="M4" s="260"/>
      <c r="N4" s="261"/>
    </row>
    <row r="5" spans="2:14" ht="13.5" thickBot="1">
      <c r="B5" s="158" t="s">
        <v>5</v>
      </c>
      <c r="C5" s="69" t="s">
        <v>38</v>
      </c>
      <c r="D5" s="207" t="s">
        <v>61</v>
      </c>
      <c r="E5" s="170" t="s">
        <v>0</v>
      </c>
      <c r="F5" s="64" t="s">
        <v>1</v>
      </c>
      <c r="G5" s="64" t="s">
        <v>2</v>
      </c>
      <c r="H5" s="64" t="s">
        <v>6</v>
      </c>
      <c r="I5" s="177" t="s">
        <v>3</v>
      </c>
      <c r="J5" s="170" t="s">
        <v>0</v>
      </c>
      <c r="K5" s="64" t="s">
        <v>1</v>
      </c>
      <c r="L5" s="64" t="s">
        <v>2</v>
      </c>
      <c r="M5" s="64" t="s">
        <v>6</v>
      </c>
      <c r="N5" s="159" t="s">
        <v>3</v>
      </c>
    </row>
    <row r="6" spans="2:14" ht="13.5" thickTop="1">
      <c r="B6" s="65" t="s">
        <v>133</v>
      </c>
      <c r="C6" s="15">
        <v>4</v>
      </c>
      <c r="D6" s="208">
        <v>8</v>
      </c>
      <c r="E6" s="175">
        <v>0.523125</v>
      </c>
      <c r="F6" s="121">
        <v>0.10462500000000001</v>
      </c>
      <c r="G6" s="121">
        <v>0.76725</v>
      </c>
      <c r="H6" s="121">
        <v>0.06975</v>
      </c>
      <c r="I6" s="176">
        <v>0.034875</v>
      </c>
      <c r="J6" s="168">
        <f aca="true" t="shared" si="0" ref="J6:J22">E6*$D6*$C6</f>
        <v>16.74</v>
      </c>
      <c r="K6" s="142">
        <f aca="true" t="shared" si="1" ref="K6:K22">F6*$D6*$C6</f>
        <v>3.3480000000000003</v>
      </c>
      <c r="L6" s="142">
        <f aca="true" t="shared" si="2" ref="L6:L22">G6*$D6*$C6</f>
        <v>24.552</v>
      </c>
      <c r="M6" s="142">
        <f aca="true" t="shared" si="3" ref="M6:M22">H6*$D6*$C6</f>
        <v>2.232</v>
      </c>
      <c r="N6" s="169">
        <f aca="true" t="shared" si="4" ref="N6:N22">I6*$D6*$C6</f>
        <v>1.116</v>
      </c>
    </row>
    <row r="7" spans="2:14" ht="12.75">
      <c r="B7" s="65" t="s">
        <v>134</v>
      </c>
      <c r="C7" s="15">
        <v>1</v>
      </c>
      <c r="D7" s="208">
        <v>8</v>
      </c>
      <c r="E7" s="171">
        <v>0.523125</v>
      </c>
      <c r="F7" s="120">
        <v>0.10462500000000001</v>
      </c>
      <c r="G7" s="120">
        <v>0.76725</v>
      </c>
      <c r="H7" s="120">
        <v>0.06975</v>
      </c>
      <c r="I7" s="172">
        <v>0.034875</v>
      </c>
      <c r="J7" s="168">
        <f t="shared" si="0"/>
        <v>4.185</v>
      </c>
      <c r="K7" s="142">
        <f t="shared" si="1"/>
        <v>0.8370000000000001</v>
      </c>
      <c r="L7" s="142">
        <f t="shared" si="2"/>
        <v>6.138</v>
      </c>
      <c r="M7" s="142">
        <f t="shared" si="3"/>
        <v>0.558</v>
      </c>
      <c r="N7" s="169">
        <f t="shared" si="4"/>
        <v>0.279</v>
      </c>
    </row>
    <row r="8" spans="2:14" ht="12.75">
      <c r="B8" s="65" t="s">
        <v>140</v>
      </c>
      <c r="C8" s="15">
        <v>3</v>
      </c>
      <c r="D8" s="208">
        <v>8</v>
      </c>
      <c r="E8" s="171">
        <v>0.25871999999999995</v>
      </c>
      <c r="F8" s="120">
        <v>0.04704</v>
      </c>
      <c r="G8" s="120">
        <v>0.42335999999999996</v>
      </c>
      <c r="H8" s="120">
        <v>0.04704</v>
      </c>
      <c r="I8" s="172">
        <v>0.02352</v>
      </c>
      <c r="J8" s="168">
        <f t="shared" si="0"/>
        <v>6.209279999999999</v>
      </c>
      <c r="K8" s="142">
        <f t="shared" si="1"/>
        <v>1.12896</v>
      </c>
      <c r="L8" s="142">
        <f t="shared" si="2"/>
        <v>10.160639999999999</v>
      </c>
      <c r="M8" s="142">
        <f t="shared" si="3"/>
        <v>1.12896</v>
      </c>
      <c r="N8" s="169">
        <f t="shared" si="4"/>
        <v>0.56448</v>
      </c>
    </row>
    <row r="9" spans="2:14" ht="12.75">
      <c r="B9" s="65" t="s">
        <v>141</v>
      </c>
      <c r="C9" s="15">
        <v>4</v>
      </c>
      <c r="D9" s="208">
        <v>8</v>
      </c>
      <c r="E9" s="171">
        <v>0.030420000000000003</v>
      </c>
      <c r="F9" s="120">
        <v>0.43601999999999996</v>
      </c>
      <c r="G9" s="120">
        <v>0.040560000000000006</v>
      </c>
      <c r="H9" s="120">
        <v>0.005070000000000001</v>
      </c>
      <c r="I9" s="172">
        <v>0.0025350000000000004</v>
      </c>
      <c r="J9" s="168">
        <f t="shared" si="0"/>
        <v>0.9734400000000001</v>
      </c>
      <c r="K9" s="142">
        <f t="shared" si="1"/>
        <v>13.952639999999999</v>
      </c>
      <c r="L9" s="142">
        <f t="shared" si="2"/>
        <v>1.2979200000000002</v>
      </c>
      <c r="M9" s="142">
        <f t="shared" si="3"/>
        <v>0.16224000000000002</v>
      </c>
      <c r="N9" s="169">
        <f t="shared" si="4"/>
        <v>0.08112000000000001</v>
      </c>
    </row>
    <row r="10" spans="2:14" ht="12.75">
      <c r="B10" s="65" t="s">
        <v>139</v>
      </c>
      <c r="C10" s="15">
        <v>6</v>
      </c>
      <c r="D10" s="208">
        <v>8</v>
      </c>
      <c r="E10" s="171">
        <v>0.9675</v>
      </c>
      <c r="F10" s="120">
        <v>0.3225</v>
      </c>
      <c r="G10" s="120">
        <v>2.4725</v>
      </c>
      <c r="H10" s="120">
        <v>0.215</v>
      </c>
      <c r="I10" s="172">
        <v>0.16125</v>
      </c>
      <c r="J10" s="168">
        <f t="shared" si="0"/>
        <v>46.44</v>
      </c>
      <c r="K10" s="142">
        <f t="shared" si="1"/>
        <v>15.48</v>
      </c>
      <c r="L10" s="142">
        <f t="shared" si="2"/>
        <v>118.68</v>
      </c>
      <c r="M10" s="142">
        <f t="shared" si="3"/>
        <v>10.32</v>
      </c>
      <c r="N10" s="169">
        <f t="shared" si="4"/>
        <v>7.74</v>
      </c>
    </row>
    <row r="11" spans="2:14" ht="12.75">
      <c r="B11" s="65" t="s">
        <v>144</v>
      </c>
      <c r="C11" s="15">
        <v>0</v>
      </c>
      <c r="D11" s="208">
        <v>8</v>
      </c>
      <c r="E11" s="171">
        <v>1.57896</v>
      </c>
      <c r="F11" s="120">
        <v>0.52632</v>
      </c>
      <c r="G11" s="120">
        <v>4.03512</v>
      </c>
      <c r="H11" s="120">
        <v>0.35088</v>
      </c>
      <c r="I11" s="172">
        <v>0.26316</v>
      </c>
      <c r="J11" s="168">
        <f t="shared" si="0"/>
        <v>0</v>
      </c>
      <c r="K11" s="142">
        <f t="shared" si="1"/>
        <v>0</v>
      </c>
      <c r="L11" s="142">
        <f t="shared" si="2"/>
        <v>0</v>
      </c>
      <c r="M11" s="142">
        <f t="shared" si="3"/>
        <v>0</v>
      </c>
      <c r="N11" s="169">
        <f t="shared" si="4"/>
        <v>0</v>
      </c>
    </row>
    <row r="12" spans="2:14" ht="12.75">
      <c r="B12" s="65" t="s">
        <v>135</v>
      </c>
      <c r="C12" s="15">
        <v>1</v>
      </c>
      <c r="D12" s="208">
        <v>8</v>
      </c>
      <c r="E12" s="171">
        <v>2.58</v>
      </c>
      <c r="F12" s="120">
        <v>0.387</v>
      </c>
      <c r="G12" s="120">
        <v>3.096</v>
      </c>
      <c r="H12" s="120">
        <v>0.258</v>
      </c>
      <c r="I12" s="172">
        <v>0.1935</v>
      </c>
      <c r="J12" s="168">
        <f t="shared" si="0"/>
        <v>20.64</v>
      </c>
      <c r="K12" s="142">
        <f t="shared" si="1"/>
        <v>3.096</v>
      </c>
      <c r="L12" s="142">
        <f t="shared" si="2"/>
        <v>24.768</v>
      </c>
      <c r="M12" s="142">
        <f t="shared" si="3"/>
        <v>2.064</v>
      </c>
      <c r="N12" s="169">
        <f t="shared" si="4"/>
        <v>1.548</v>
      </c>
    </row>
    <row r="13" spans="2:14" ht="12.75">
      <c r="B13" s="65" t="s">
        <v>110</v>
      </c>
      <c r="C13" s="15">
        <v>2</v>
      </c>
      <c r="D13" s="208">
        <v>8</v>
      </c>
      <c r="E13" s="171">
        <v>1.595</v>
      </c>
      <c r="F13" s="120">
        <v>0.145</v>
      </c>
      <c r="G13" s="120">
        <v>3.48</v>
      </c>
      <c r="H13" s="120">
        <v>0.29</v>
      </c>
      <c r="I13" s="172">
        <v>0.2175</v>
      </c>
      <c r="J13" s="168">
        <f t="shared" si="0"/>
        <v>25.52</v>
      </c>
      <c r="K13" s="142">
        <f t="shared" si="1"/>
        <v>2.32</v>
      </c>
      <c r="L13" s="142">
        <f t="shared" si="2"/>
        <v>55.68</v>
      </c>
      <c r="M13" s="142">
        <f t="shared" si="3"/>
        <v>4.64</v>
      </c>
      <c r="N13" s="169">
        <f t="shared" si="4"/>
        <v>3.48</v>
      </c>
    </row>
    <row r="14" spans="2:14" ht="12.75">
      <c r="B14" s="65" t="s">
        <v>145</v>
      </c>
      <c r="C14" s="15">
        <v>3</v>
      </c>
      <c r="D14" s="208">
        <v>8</v>
      </c>
      <c r="E14" s="171">
        <v>0.3081</v>
      </c>
      <c r="F14" s="120">
        <v>0.0711</v>
      </c>
      <c r="G14" s="120">
        <v>0.7346999999999999</v>
      </c>
      <c r="H14" s="120">
        <v>0.0474</v>
      </c>
      <c r="I14" s="172">
        <v>0.03555</v>
      </c>
      <c r="J14" s="168">
        <f t="shared" si="0"/>
        <v>7.394399999999999</v>
      </c>
      <c r="K14" s="142">
        <f t="shared" si="1"/>
        <v>1.7064</v>
      </c>
      <c r="L14" s="142">
        <f t="shared" si="2"/>
        <v>17.632799999999996</v>
      </c>
      <c r="M14" s="142">
        <f t="shared" si="3"/>
        <v>1.1376</v>
      </c>
      <c r="N14" s="169">
        <f t="shared" si="4"/>
        <v>0.8532</v>
      </c>
    </row>
    <row r="15" spans="2:14" ht="12.75">
      <c r="B15" s="65" t="s">
        <v>62</v>
      </c>
      <c r="C15" s="15">
        <v>3</v>
      </c>
      <c r="D15" s="208">
        <v>8</v>
      </c>
      <c r="E15" s="171">
        <v>1.46475</v>
      </c>
      <c r="F15" s="120">
        <v>0.29295000000000004</v>
      </c>
      <c r="G15" s="120">
        <v>2.1483000000000003</v>
      </c>
      <c r="H15" s="120">
        <v>0.1953</v>
      </c>
      <c r="I15" s="172">
        <v>0.09765</v>
      </c>
      <c r="J15" s="168">
        <f t="shared" si="0"/>
        <v>35.153999999999996</v>
      </c>
      <c r="K15" s="142">
        <f t="shared" si="1"/>
        <v>7.030800000000001</v>
      </c>
      <c r="L15" s="142">
        <f t="shared" si="2"/>
        <v>51.559200000000004</v>
      </c>
      <c r="M15" s="142">
        <f t="shared" si="3"/>
        <v>4.6872</v>
      </c>
      <c r="N15" s="169">
        <f t="shared" si="4"/>
        <v>2.3436</v>
      </c>
    </row>
    <row r="16" spans="2:14" ht="12.75">
      <c r="B16" s="65" t="s">
        <v>213</v>
      </c>
      <c r="C16" s="15">
        <v>1</v>
      </c>
      <c r="D16" s="208">
        <v>8</v>
      </c>
      <c r="E16" s="171">
        <v>0.635</v>
      </c>
      <c r="F16" s="120">
        <v>0.176</v>
      </c>
      <c r="G16" s="120">
        <v>2.499</v>
      </c>
      <c r="H16" s="120">
        <v>0.002</v>
      </c>
      <c r="I16" s="172">
        <v>0.086</v>
      </c>
      <c r="J16" s="168">
        <f t="shared" si="0"/>
        <v>5.08</v>
      </c>
      <c r="K16" s="142">
        <f t="shared" si="1"/>
        <v>1.408</v>
      </c>
      <c r="L16" s="142">
        <f t="shared" si="2"/>
        <v>19.992</v>
      </c>
      <c r="M16" s="142">
        <f t="shared" si="3"/>
        <v>0.016</v>
      </c>
      <c r="N16" s="169">
        <f t="shared" si="4"/>
        <v>0.688</v>
      </c>
    </row>
    <row r="17" spans="2:14" ht="12.75">
      <c r="B17" s="65" t="s">
        <v>142</v>
      </c>
      <c r="C17" s="15">
        <v>4</v>
      </c>
      <c r="D17" s="208">
        <v>8</v>
      </c>
      <c r="E17" s="171">
        <v>0.42672499999999997</v>
      </c>
      <c r="F17" s="120">
        <v>0.09847500000000001</v>
      </c>
      <c r="G17" s="120">
        <v>1.0175750000000001</v>
      </c>
      <c r="H17" s="120">
        <v>0.06565</v>
      </c>
      <c r="I17" s="172">
        <v>0.06565</v>
      </c>
      <c r="J17" s="168">
        <f t="shared" si="0"/>
        <v>13.655199999999999</v>
      </c>
      <c r="K17" s="142">
        <f t="shared" si="1"/>
        <v>3.1512000000000002</v>
      </c>
      <c r="L17" s="142">
        <f t="shared" si="2"/>
        <v>32.562400000000004</v>
      </c>
      <c r="M17" s="142">
        <f t="shared" si="3"/>
        <v>2.1008</v>
      </c>
      <c r="N17" s="169">
        <f t="shared" si="4"/>
        <v>2.1008</v>
      </c>
    </row>
    <row r="18" spans="2:14" ht="12.75">
      <c r="B18" s="65" t="s">
        <v>214</v>
      </c>
      <c r="C18" s="15">
        <v>7</v>
      </c>
      <c r="D18" s="208">
        <v>4</v>
      </c>
      <c r="E18" s="171">
        <v>1.8</v>
      </c>
      <c r="F18" s="120">
        <v>0.19</v>
      </c>
      <c r="G18" s="120">
        <v>4.17</v>
      </c>
      <c r="H18" s="120">
        <v>0.45</v>
      </c>
      <c r="I18" s="172">
        <v>0.26</v>
      </c>
      <c r="J18" s="168">
        <f t="shared" si="0"/>
        <v>50.4</v>
      </c>
      <c r="K18" s="142">
        <f t="shared" si="1"/>
        <v>5.32</v>
      </c>
      <c r="L18" s="142">
        <f t="shared" si="2"/>
        <v>116.75999999999999</v>
      </c>
      <c r="M18" s="142">
        <f t="shared" si="3"/>
        <v>12.6</v>
      </c>
      <c r="N18" s="169">
        <f t="shared" si="4"/>
        <v>7.28</v>
      </c>
    </row>
    <row r="19" spans="2:14" ht="12.75">
      <c r="B19" s="65" t="s">
        <v>136</v>
      </c>
      <c r="C19" s="15">
        <v>0</v>
      </c>
      <c r="D19" s="208">
        <v>12</v>
      </c>
      <c r="E19" s="171">
        <v>0.11725999999999999</v>
      </c>
      <c r="F19" s="120">
        <v>0.021320000000000002</v>
      </c>
      <c r="G19" s="120">
        <v>0.19187999999999997</v>
      </c>
      <c r="H19" s="120">
        <v>0.021320000000000002</v>
      </c>
      <c r="I19" s="172">
        <v>0.010660000000000001</v>
      </c>
      <c r="J19" s="168">
        <f t="shared" si="0"/>
        <v>0</v>
      </c>
      <c r="K19" s="142">
        <f t="shared" si="1"/>
        <v>0</v>
      </c>
      <c r="L19" s="142">
        <f t="shared" si="2"/>
        <v>0</v>
      </c>
      <c r="M19" s="142">
        <f t="shared" si="3"/>
        <v>0</v>
      </c>
      <c r="N19" s="169">
        <f t="shared" si="4"/>
        <v>0</v>
      </c>
    </row>
    <row r="20" spans="2:14" ht="12.75">
      <c r="B20" s="65" t="s">
        <v>137</v>
      </c>
      <c r="C20" s="15">
        <v>1</v>
      </c>
      <c r="D20" s="208">
        <v>8</v>
      </c>
      <c r="E20" s="171">
        <v>1.290375</v>
      </c>
      <c r="F20" s="120">
        <v>0.25807500000000005</v>
      </c>
      <c r="G20" s="120">
        <v>1.8925499999999997</v>
      </c>
      <c r="H20" s="120">
        <v>0.17205</v>
      </c>
      <c r="I20" s="172">
        <v>0.086025</v>
      </c>
      <c r="J20" s="168">
        <f t="shared" si="0"/>
        <v>10.323</v>
      </c>
      <c r="K20" s="142">
        <f t="shared" si="1"/>
        <v>2.0646000000000004</v>
      </c>
      <c r="L20" s="142">
        <f t="shared" si="2"/>
        <v>15.140399999999998</v>
      </c>
      <c r="M20" s="142">
        <f t="shared" si="3"/>
        <v>1.3764</v>
      </c>
      <c r="N20" s="169">
        <f t="shared" si="4"/>
        <v>0.6882</v>
      </c>
    </row>
    <row r="21" spans="2:14" ht="12.75">
      <c r="B21" s="150" t="s">
        <v>143</v>
      </c>
      <c r="C21" s="15">
        <v>1</v>
      </c>
      <c r="D21" s="208">
        <v>8</v>
      </c>
      <c r="E21" s="171">
        <v>0.7866</v>
      </c>
      <c r="F21" s="120">
        <v>0.15732000000000002</v>
      </c>
      <c r="G21" s="120">
        <v>1.88784</v>
      </c>
      <c r="H21" s="120">
        <v>0.15732000000000002</v>
      </c>
      <c r="I21" s="172">
        <v>0.07866000000000001</v>
      </c>
      <c r="J21" s="168">
        <f t="shared" si="0"/>
        <v>6.2928</v>
      </c>
      <c r="K21" s="142">
        <f t="shared" si="1"/>
        <v>1.2585600000000001</v>
      </c>
      <c r="L21" s="142">
        <f t="shared" si="2"/>
        <v>15.10272</v>
      </c>
      <c r="M21" s="142">
        <f t="shared" si="3"/>
        <v>1.2585600000000001</v>
      </c>
      <c r="N21" s="169">
        <f t="shared" si="4"/>
        <v>0.6292800000000001</v>
      </c>
    </row>
    <row r="22" spans="2:14" ht="12.75" customHeight="1">
      <c r="B22" s="164" t="s">
        <v>138</v>
      </c>
      <c r="C22" s="15">
        <v>3</v>
      </c>
      <c r="D22" s="127">
        <v>8</v>
      </c>
      <c r="E22" s="171">
        <v>0.24254999999999996</v>
      </c>
      <c r="F22" s="120">
        <v>0.0441</v>
      </c>
      <c r="G22" s="120">
        <v>0.3969</v>
      </c>
      <c r="H22" s="120">
        <v>0.0441</v>
      </c>
      <c r="I22" s="172">
        <v>0.02205</v>
      </c>
      <c r="J22" s="165">
        <f t="shared" si="0"/>
        <v>5.821199999999999</v>
      </c>
      <c r="K22" s="20">
        <f t="shared" si="1"/>
        <v>1.0584</v>
      </c>
      <c r="L22" s="20">
        <f t="shared" si="2"/>
        <v>9.525599999999999</v>
      </c>
      <c r="M22" s="20">
        <f t="shared" si="3"/>
        <v>1.0584</v>
      </c>
      <c r="N22" s="166">
        <f t="shared" si="4"/>
        <v>0.5292</v>
      </c>
    </row>
    <row r="23" spans="2:14" ht="13.5" thickBot="1">
      <c r="B23" s="160" t="s">
        <v>63</v>
      </c>
      <c r="C23" s="161">
        <f>SUM(C6:C22)</f>
        <v>44</v>
      </c>
      <c r="D23" s="109"/>
      <c r="E23" s="213"/>
      <c r="F23" s="161"/>
      <c r="G23" s="161"/>
      <c r="H23" s="161"/>
      <c r="I23" s="89"/>
      <c r="J23" s="167">
        <f>SUM(J6:J22)</f>
        <v>254.82832000000002</v>
      </c>
      <c r="K23" s="111">
        <f>SUM(K6:K22)</f>
        <v>63.16056000000001</v>
      </c>
      <c r="L23" s="162">
        <f>SUM(L6:L22)</f>
        <v>519.55168</v>
      </c>
      <c r="M23" s="111">
        <f>SUM(M6:M22)</f>
        <v>45.34016</v>
      </c>
      <c r="N23" s="163">
        <f>SUM(N6:N22)</f>
        <v>29.920879999999997</v>
      </c>
    </row>
    <row r="24" spans="10:14" ht="12.75">
      <c r="J24" s="19"/>
      <c r="K24" s="19"/>
      <c r="L24" s="19"/>
      <c r="M24" s="19"/>
      <c r="N24" s="19"/>
    </row>
    <row r="25" ht="12.75">
      <c r="B25" s="10"/>
    </row>
    <row r="26" spans="2:5" ht="12.75">
      <c r="B26" s="10"/>
      <c r="E26" s="10"/>
    </row>
    <row r="27" spans="1:2" ht="12.75">
      <c r="A27" s="258" t="s">
        <v>191</v>
      </c>
      <c r="B27" s="10"/>
    </row>
    <row r="28" spans="1:6" ht="12.75">
      <c r="A28" s="258"/>
      <c r="B28" s="10"/>
      <c r="C28" s="113"/>
      <c r="D28" s="10"/>
      <c r="E28" s="10"/>
      <c r="F28" s="68"/>
    </row>
    <row r="29" ht="12.75">
      <c r="A29" s="258"/>
    </row>
    <row r="30" ht="12.75">
      <c r="N30" s="53"/>
    </row>
    <row r="31" ht="12.75">
      <c r="B31" s="10"/>
    </row>
  </sheetData>
  <sheetProtection/>
  <mergeCells count="3">
    <mergeCell ref="J4:N4"/>
    <mergeCell ref="A27:A29"/>
    <mergeCell ref="A2:N2"/>
  </mergeCells>
  <conditionalFormatting sqref="M24:N24 J24">
    <cfRule type="cellIs" priority="1" dxfId="0" operator="greaterThanOrEqual" stopIfTrue="1">
      <formula>$J$25</formula>
    </cfRule>
  </conditionalFormatting>
  <conditionalFormatting sqref="L24">
    <cfRule type="cellIs" priority="2" dxfId="0" operator="greaterThanOrEqual" stopIfTrue="1">
      <formula>$L$25</formula>
    </cfRule>
  </conditionalFormatting>
  <conditionalFormatting sqref="K24">
    <cfRule type="cellIs" priority="3" dxfId="0" operator="greaterThanOrEqual" stopIfTrue="1">
      <formula>$K$25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&amp;C&amp;"Arial,Bold"&amp;16Table C-2
Construction Equipment Emissions
</oddHeader>
    <oddFooter>&amp;L&amp;8M:\MC\2393 BP\EIR\&amp;F:&amp;A&amp;R&amp;8&amp;D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N31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2" max="2" width="36.7109375" style="0" customWidth="1"/>
    <col min="3" max="3" width="9.7109375" style="112" customWidth="1"/>
    <col min="7" max="7" width="9.00390625" style="0" customWidth="1"/>
  </cols>
  <sheetData>
    <row r="1" ht="12" customHeight="1"/>
    <row r="2" spans="1:14" ht="15.75" customHeight="1">
      <c r="A2" s="254" t="s">
        <v>169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3.5" thickBot="1"/>
    <row r="4" spans="2:14" ht="12.75">
      <c r="B4" s="153" t="s">
        <v>57</v>
      </c>
      <c r="C4" s="154"/>
      <c r="D4" s="212" t="s">
        <v>58</v>
      </c>
      <c r="E4" s="209"/>
      <c r="F4" s="157" t="s">
        <v>59</v>
      </c>
      <c r="G4" s="157"/>
      <c r="H4" s="26"/>
      <c r="I4" s="210"/>
      <c r="J4" s="259" t="s">
        <v>60</v>
      </c>
      <c r="K4" s="260"/>
      <c r="L4" s="260"/>
      <c r="M4" s="260"/>
      <c r="N4" s="261"/>
    </row>
    <row r="5" spans="2:14" ht="13.5" thickBot="1">
      <c r="B5" s="158" t="s">
        <v>5</v>
      </c>
      <c r="C5" s="69" t="s">
        <v>38</v>
      </c>
      <c r="D5" s="207" t="s">
        <v>61</v>
      </c>
      <c r="E5" s="170" t="s">
        <v>0</v>
      </c>
      <c r="F5" s="64" t="s">
        <v>1</v>
      </c>
      <c r="G5" s="64" t="s">
        <v>2</v>
      </c>
      <c r="H5" s="64" t="s">
        <v>6</v>
      </c>
      <c r="I5" s="177" t="s">
        <v>3</v>
      </c>
      <c r="J5" s="170" t="s">
        <v>0</v>
      </c>
      <c r="K5" s="64" t="s">
        <v>1</v>
      </c>
      <c r="L5" s="64" t="s">
        <v>2</v>
      </c>
      <c r="M5" s="64" t="s">
        <v>6</v>
      </c>
      <c r="N5" s="159" t="s">
        <v>3</v>
      </c>
    </row>
    <row r="6" spans="2:14" ht="13.5" thickTop="1">
      <c r="B6" s="65" t="s">
        <v>133</v>
      </c>
      <c r="C6" s="15">
        <v>3</v>
      </c>
      <c r="D6" s="208">
        <v>8</v>
      </c>
      <c r="E6" s="175">
        <v>0.523125</v>
      </c>
      <c r="F6" s="121">
        <v>0.10462500000000001</v>
      </c>
      <c r="G6" s="121">
        <v>0.76725</v>
      </c>
      <c r="H6" s="121">
        <v>0.06975</v>
      </c>
      <c r="I6" s="176">
        <v>0.034875</v>
      </c>
      <c r="J6" s="168">
        <f>E6*$D6*$C6</f>
        <v>12.555</v>
      </c>
      <c r="K6" s="142">
        <f>F6*$D6*$C6</f>
        <v>2.511</v>
      </c>
      <c r="L6" s="142">
        <f>G6*$D6*$C6</f>
        <v>18.414</v>
      </c>
      <c r="M6" s="142">
        <f>H6*$D6*$C6</f>
        <v>1.6740000000000002</v>
      </c>
      <c r="N6" s="169">
        <f>I6*$D6*$C6</f>
        <v>0.8370000000000001</v>
      </c>
    </row>
    <row r="7" spans="2:14" ht="12.75">
      <c r="B7" s="65" t="s">
        <v>134</v>
      </c>
      <c r="C7" s="15">
        <v>0</v>
      </c>
      <c r="D7" s="208">
        <v>8</v>
      </c>
      <c r="E7" s="171">
        <v>0.523125</v>
      </c>
      <c r="F7" s="120">
        <v>0.10462500000000001</v>
      </c>
      <c r="G7" s="120">
        <v>0.76725</v>
      </c>
      <c r="H7" s="120">
        <v>0.06975</v>
      </c>
      <c r="I7" s="172">
        <v>0.034875</v>
      </c>
      <c r="J7" s="168">
        <f aca="true" t="shared" si="0" ref="J7:J22">E7*$D7*$C7</f>
        <v>0</v>
      </c>
      <c r="K7" s="142">
        <f aca="true" t="shared" si="1" ref="K7:K22">F7*$D7*$C7</f>
        <v>0</v>
      </c>
      <c r="L7" s="142">
        <f aca="true" t="shared" si="2" ref="L7:L22">G7*$D7*$C7</f>
        <v>0</v>
      </c>
      <c r="M7" s="142">
        <f aca="true" t="shared" si="3" ref="M7:M22">H7*$D7*$C7</f>
        <v>0</v>
      </c>
      <c r="N7" s="169">
        <f aca="true" t="shared" si="4" ref="N7:N22">I7*$D7*$C7</f>
        <v>0</v>
      </c>
    </row>
    <row r="8" spans="2:14" ht="12.75">
      <c r="B8" s="65" t="s">
        <v>140</v>
      </c>
      <c r="C8" s="15">
        <v>4</v>
      </c>
      <c r="D8" s="208">
        <v>8</v>
      </c>
      <c r="E8" s="171">
        <v>0.25871999999999995</v>
      </c>
      <c r="F8" s="120">
        <v>0.04704</v>
      </c>
      <c r="G8" s="120">
        <v>0.42335999999999996</v>
      </c>
      <c r="H8" s="120">
        <v>0.04704</v>
      </c>
      <c r="I8" s="172">
        <v>0.02352</v>
      </c>
      <c r="J8" s="168">
        <f t="shared" si="0"/>
        <v>8.279039999999998</v>
      </c>
      <c r="K8" s="142">
        <f t="shared" si="1"/>
        <v>1.50528</v>
      </c>
      <c r="L8" s="142">
        <f t="shared" si="2"/>
        <v>13.547519999999999</v>
      </c>
      <c r="M8" s="142">
        <f t="shared" si="3"/>
        <v>1.50528</v>
      </c>
      <c r="N8" s="169">
        <f t="shared" si="4"/>
        <v>0.75264</v>
      </c>
    </row>
    <row r="9" spans="2:14" ht="12.75">
      <c r="B9" s="65" t="s">
        <v>141</v>
      </c>
      <c r="C9" s="15">
        <v>2</v>
      </c>
      <c r="D9" s="208">
        <v>8</v>
      </c>
      <c r="E9" s="171">
        <v>0.030420000000000003</v>
      </c>
      <c r="F9" s="120">
        <v>0.43601999999999996</v>
      </c>
      <c r="G9" s="120">
        <v>0.040560000000000006</v>
      </c>
      <c r="H9" s="120">
        <v>0.005070000000000001</v>
      </c>
      <c r="I9" s="172">
        <v>0.0025350000000000004</v>
      </c>
      <c r="J9" s="168">
        <f t="shared" si="0"/>
        <v>0.48672000000000004</v>
      </c>
      <c r="K9" s="142">
        <f t="shared" si="1"/>
        <v>6.976319999999999</v>
      </c>
      <c r="L9" s="142">
        <f t="shared" si="2"/>
        <v>0.6489600000000001</v>
      </c>
      <c r="M9" s="142">
        <f t="shared" si="3"/>
        <v>0.08112000000000001</v>
      </c>
      <c r="N9" s="169">
        <f t="shared" si="4"/>
        <v>0.040560000000000006</v>
      </c>
    </row>
    <row r="10" spans="2:14" ht="12.75">
      <c r="B10" s="65" t="s">
        <v>139</v>
      </c>
      <c r="C10" s="15">
        <v>11</v>
      </c>
      <c r="D10" s="208">
        <v>8</v>
      </c>
      <c r="E10" s="171">
        <v>0.9675</v>
      </c>
      <c r="F10" s="120">
        <v>0.3225</v>
      </c>
      <c r="G10" s="120">
        <v>2.4725</v>
      </c>
      <c r="H10" s="120">
        <v>0.215</v>
      </c>
      <c r="I10" s="172">
        <v>0.16125</v>
      </c>
      <c r="J10" s="168">
        <f t="shared" si="0"/>
        <v>85.14</v>
      </c>
      <c r="K10" s="142">
        <f t="shared" si="1"/>
        <v>28.380000000000003</v>
      </c>
      <c r="L10" s="142">
        <f t="shared" si="2"/>
        <v>217.58</v>
      </c>
      <c r="M10" s="142">
        <f t="shared" si="3"/>
        <v>18.919999999999998</v>
      </c>
      <c r="N10" s="169">
        <f t="shared" si="4"/>
        <v>14.190000000000001</v>
      </c>
    </row>
    <row r="11" spans="2:14" ht="12.75">
      <c r="B11" s="65" t="s">
        <v>144</v>
      </c>
      <c r="C11" s="15">
        <v>1</v>
      </c>
      <c r="D11" s="208">
        <v>8</v>
      </c>
      <c r="E11" s="171">
        <v>1.57896</v>
      </c>
      <c r="F11" s="120">
        <v>0.52632</v>
      </c>
      <c r="G11" s="120">
        <v>4.03512</v>
      </c>
      <c r="H11" s="120">
        <v>0.35088</v>
      </c>
      <c r="I11" s="172">
        <v>0.26316</v>
      </c>
      <c r="J11" s="168">
        <f t="shared" si="0"/>
        <v>12.63168</v>
      </c>
      <c r="K11" s="142">
        <f t="shared" si="1"/>
        <v>4.21056</v>
      </c>
      <c r="L11" s="142">
        <f t="shared" si="2"/>
        <v>32.28096</v>
      </c>
      <c r="M11" s="142">
        <f t="shared" si="3"/>
        <v>2.80704</v>
      </c>
      <c r="N11" s="169">
        <f t="shared" si="4"/>
        <v>2.10528</v>
      </c>
    </row>
    <row r="12" spans="2:14" ht="12.75">
      <c r="B12" s="65" t="s">
        <v>135</v>
      </c>
      <c r="C12" s="15">
        <v>1</v>
      </c>
      <c r="D12" s="208">
        <v>8</v>
      </c>
      <c r="E12" s="171">
        <v>2.58</v>
      </c>
      <c r="F12" s="120">
        <v>0.387</v>
      </c>
      <c r="G12" s="120">
        <v>3.096</v>
      </c>
      <c r="H12" s="120">
        <v>0.258</v>
      </c>
      <c r="I12" s="172">
        <v>0.1935</v>
      </c>
      <c r="J12" s="168">
        <f t="shared" si="0"/>
        <v>20.64</v>
      </c>
      <c r="K12" s="142">
        <f t="shared" si="1"/>
        <v>3.096</v>
      </c>
      <c r="L12" s="142">
        <f t="shared" si="2"/>
        <v>24.768</v>
      </c>
      <c r="M12" s="142">
        <f t="shared" si="3"/>
        <v>2.064</v>
      </c>
      <c r="N12" s="169">
        <f t="shared" si="4"/>
        <v>1.548</v>
      </c>
    </row>
    <row r="13" spans="2:14" ht="12.75">
      <c r="B13" s="65" t="s">
        <v>110</v>
      </c>
      <c r="C13" s="15">
        <v>1</v>
      </c>
      <c r="D13" s="208">
        <v>8</v>
      </c>
      <c r="E13" s="171">
        <v>1.595</v>
      </c>
      <c r="F13" s="120">
        <v>0.145</v>
      </c>
      <c r="G13" s="120">
        <v>3.48</v>
      </c>
      <c r="H13" s="120">
        <v>0.29</v>
      </c>
      <c r="I13" s="172">
        <v>0.2175</v>
      </c>
      <c r="J13" s="168">
        <f t="shared" si="0"/>
        <v>12.76</v>
      </c>
      <c r="K13" s="142">
        <f t="shared" si="1"/>
        <v>1.16</v>
      </c>
      <c r="L13" s="142">
        <f t="shared" si="2"/>
        <v>27.84</v>
      </c>
      <c r="M13" s="142">
        <f t="shared" si="3"/>
        <v>2.32</v>
      </c>
      <c r="N13" s="169">
        <f t="shared" si="4"/>
        <v>1.74</v>
      </c>
    </row>
    <row r="14" spans="2:14" ht="12.75">
      <c r="B14" s="65" t="s">
        <v>145</v>
      </c>
      <c r="C14" s="15">
        <v>6</v>
      </c>
      <c r="D14" s="208">
        <v>8</v>
      </c>
      <c r="E14" s="171">
        <v>0.3081</v>
      </c>
      <c r="F14" s="120">
        <v>0.0711</v>
      </c>
      <c r="G14" s="120">
        <v>0.7346999999999999</v>
      </c>
      <c r="H14" s="120">
        <v>0.0474</v>
      </c>
      <c r="I14" s="172">
        <v>0.03555</v>
      </c>
      <c r="J14" s="168">
        <f t="shared" si="0"/>
        <v>14.788799999999998</v>
      </c>
      <c r="K14" s="142">
        <f t="shared" si="1"/>
        <v>3.4128</v>
      </c>
      <c r="L14" s="142">
        <f t="shared" si="2"/>
        <v>35.26559999999999</v>
      </c>
      <c r="M14" s="142">
        <f t="shared" si="3"/>
        <v>2.2752</v>
      </c>
      <c r="N14" s="169">
        <f t="shared" si="4"/>
        <v>1.7064</v>
      </c>
    </row>
    <row r="15" spans="2:14" ht="12.75">
      <c r="B15" s="65" t="s">
        <v>62</v>
      </c>
      <c r="C15" s="15">
        <v>0</v>
      </c>
      <c r="D15" s="208">
        <v>8</v>
      </c>
      <c r="E15" s="171">
        <v>1.46475</v>
      </c>
      <c r="F15" s="120">
        <v>0.29295000000000004</v>
      </c>
      <c r="G15" s="120">
        <v>2.1483000000000003</v>
      </c>
      <c r="H15" s="120">
        <v>0.1953</v>
      </c>
      <c r="I15" s="172">
        <v>0.09765</v>
      </c>
      <c r="J15" s="168">
        <f t="shared" si="0"/>
        <v>0</v>
      </c>
      <c r="K15" s="142">
        <f t="shared" si="1"/>
        <v>0</v>
      </c>
      <c r="L15" s="142">
        <f t="shared" si="2"/>
        <v>0</v>
      </c>
      <c r="M15" s="142">
        <f t="shared" si="3"/>
        <v>0</v>
      </c>
      <c r="N15" s="169">
        <f t="shared" si="4"/>
        <v>0</v>
      </c>
    </row>
    <row r="16" spans="2:14" ht="12.75">
      <c r="B16" s="65" t="s">
        <v>213</v>
      </c>
      <c r="C16" s="15">
        <v>4</v>
      </c>
      <c r="D16" s="208">
        <v>8</v>
      </c>
      <c r="E16" s="171">
        <v>0.635</v>
      </c>
      <c r="F16" s="120">
        <v>0.176</v>
      </c>
      <c r="G16" s="120">
        <v>2.499</v>
      </c>
      <c r="H16" s="120">
        <v>0.002</v>
      </c>
      <c r="I16" s="172">
        <v>0.086</v>
      </c>
      <c r="J16" s="168">
        <f t="shared" si="0"/>
        <v>20.32</v>
      </c>
      <c r="K16" s="142">
        <f t="shared" si="1"/>
        <v>5.632</v>
      </c>
      <c r="L16" s="142">
        <f t="shared" si="2"/>
        <v>79.968</v>
      </c>
      <c r="M16" s="142">
        <f t="shared" si="3"/>
        <v>0.064</v>
      </c>
      <c r="N16" s="169">
        <f t="shared" si="4"/>
        <v>2.752</v>
      </c>
    </row>
    <row r="17" spans="2:14" ht="12.75">
      <c r="B17" s="65" t="s">
        <v>142</v>
      </c>
      <c r="C17" s="15">
        <v>6</v>
      </c>
      <c r="D17" s="208">
        <v>8</v>
      </c>
      <c r="E17" s="171">
        <v>0.42672499999999997</v>
      </c>
      <c r="F17" s="120">
        <v>0.09847500000000001</v>
      </c>
      <c r="G17" s="120">
        <v>1.0175750000000001</v>
      </c>
      <c r="H17" s="120">
        <v>0.06565</v>
      </c>
      <c r="I17" s="172">
        <v>0.06565</v>
      </c>
      <c r="J17" s="168">
        <f t="shared" si="0"/>
        <v>20.482799999999997</v>
      </c>
      <c r="K17" s="142">
        <f t="shared" si="1"/>
        <v>4.726800000000001</v>
      </c>
      <c r="L17" s="142">
        <f t="shared" si="2"/>
        <v>48.84360000000001</v>
      </c>
      <c r="M17" s="142">
        <f t="shared" si="3"/>
        <v>3.1512000000000002</v>
      </c>
      <c r="N17" s="169">
        <f t="shared" si="4"/>
        <v>3.1512000000000002</v>
      </c>
    </row>
    <row r="18" spans="2:14" ht="12.75">
      <c r="B18" s="65" t="s">
        <v>214</v>
      </c>
      <c r="C18" s="15">
        <v>5</v>
      </c>
      <c r="D18" s="208">
        <v>4</v>
      </c>
      <c r="E18" s="171">
        <v>1.8</v>
      </c>
      <c r="F18" s="120">
        <v>0.19</v>
      </c>
      <c r="G18" s="120">
        <v>4.17</v>
      </c>
      <c r="H18" s="120">
        <v>0.45</v>
      </c>
      <c r="I18" s="172">
        <v>0.26</v>
      </c>
      <c r="J18" s="168">
        <f t="shared" si="0"/>
        <v>36</v>
      </c>
      <c r="K18" s="142">
        <f t="shared" si="1"/>
        <v>3.8</v>
      </c>
      <c r="L18" s="142">
        <f t="shared" si="2"/>
        <v>83.4</v>
      </c>
      <c r="M18" s="142">
        <f t="shared" si="3"/>
        <v>9</v>
      </c>
      <c r="N18" s="169">
        <f t="shared" si="4"/>
        <v>5.2</v>
      </c>
    </row>
    <row r="19" spans="2:14" ht="12.75">
      <c r="B19" s="65" t="s">
        <v>136</v>
      </c>
      <c r="C19" s="15">
        <v>0</v>
      </c>
      <c r="D19" s="208">
        <v>12</v>
      </c>
      <c r="E19" s="171">
        <v>0.11725999999999999</v>
      </c>
      <c r="F19" s="120">
        <v>0.021320000000000002</v>
      </c>
      <c r="G19" s="120">
        <v>0.19187999999999997</v>
      </c>
      <c r="H19" s="120">
        <v>0.021320000000000002</v>
      </c>
      <c r="I19" s="172">
        <v>0.010660000000000001</v>
      </c>
      <c r="J19" s="168">
        <f t="shared" si="0"/>
        <v>0</v>
      </c>
      <c r="K19" s="142">
        <f t="shared" si="1"/>
        <v>0</v>
      </c>
      <c r="L19" s="142">
        <f t="shared" si="2"/>
        <v>0</v>
      </c>
      <c r="M19" s="142">
        <f t="shared" si="3"/>
        <v>0</v>
      </c>
      <c r="N19" s="169">
        <f t="shared" si="4"/>
        <v>0</v>
      </c>
    </row>
    <row r="20" spans="2:14" ht="12.75">
      <c r="B20" s="65" t="s">
        <v>137</v>
      </c>
      <c r="C20" s="15">
        <v>2</v>
      </c>
      <c r="D20" s="208">
        <v>8</v>
      </c>
      <c r="E20" s="171">
        <v>1.290375</v>
      </c>
      <c r="F20" s="120">
        <v>0.25807500000000005</v>
      </c>
      <c r="G20" s="120">
        <v>1.8925499999999997</v>
      </c>
      <c r="H20" s="120">
        <v>0.17205</v>
      </c>
      <c r="I20" s="172">
        <v>0.086025</v>
      </c>
      <c r="J20" s="168">
        <f t="shared" si="0"/>
        <v>20.646</v>
      </c>
      <c r="K20" s="142">
        <f t="shared" si="1"/>
        <v>4.129200000000001</v>
      </c>
      <c r="L20" s="142">
        <f t="shared" si="2"/>
        <v>30.280799999999996</v>
      </c>
      <c r="M20" s="142">
        <f t="shared" si="3"/>
        <v>2.7528</v>
      </c>
      <c r="N20" s="169">
        <f t="shared" si="4"/>
        <v>1.3764</v>
      </c>
    </row>
    <row r="21" spans="2:14" ht="12.75">
      <c r="B21" s="150" t="s">
        <v>143</v>
      </c>
      <c r="C21" s="15">
        <v>2</v>
      </c>
      <c r="D21" s="208">
        <v>8</v>
      </c>
      <c r="E21" s="171">
        <v>0.7866</v>
      </c>
      <c r="F21" s="120">
        <v>0.15732000000000002</v>
      </c>
      <c r="G21" s="120">
        <v>1.88784</v>
      </c>
      <c r="H21" s="120">
        <v>0.15732000000000002</v>
      </c>
      <c r="I21" s="172">
        <v>0.07866000000000001</v>
      </c>
      <c r="J21" s="168">
        <f t="shared" si="0"/>
        <v>12.5856</v>
      </c>
      <c r="K21" s="142">
        <f t="shared" si="1"/>
        <v>2.5171200000000002</v>
      </c>
      <c r="L21" s="142">
        <f t="shared" si="2"/>
        <v>30.20544</v>
      </c>
      <c r="M21" s="142">
        <f t="shared" si="3"/>
        <v>2.5171200000000002</v>
      </c>
      <c r="N21" s="169">
        <f t="shared" si="4"/>
        <v>1.2585600000000001</v>
      </c>
    </row>
    <row r="22" spans="2:14" ht="12.75" customHeight="1">
      <c r="B22" s="164" t="s">
        <v>138</v>
      </c>
      <c r="C22" s="15">
        <v>16</v>
      </c>
      <c r="D22" s="127">
        <v>8</v>
      </c>
      <c r="E22" s="171">
        <v>0.24254999999999996</v>
      </c>
      <c r="F22" s="120">
        <v>0.0441</v>
      </c>
      <c r="G22" s="120">
        <v>0.3969</v>
      </c>
      <c r="H22" s="120">
        <v>0.0441</v>
      </c>
      <c r="I22" s="172">
        <v>0.02205</v>
      </c>
      <c r="J22" s="165">
        <f t="shared" si="0"/>
        <v>31.046399999999995</v>
      </c>
      <c r="K22" s="20">
        <f t="shared" si="1"/>
        <v>5.6448</v>
      </c>
      <c r="L22" s="20">
        <f t="shared" si="2"/>
        <v>50.8032</v>
      </c>
      <c r="M22" s="20">
        <f t="shared" si="3"/>
        <v>5.6448</v>
      </c>
      <c r="N22" s="166">
        <f t="shared" si="4"/>
        <v>2.8224</v>
      </c>
    </row>
    <row r="23" spans="2:14" ht="13.5" thickBot="1">
      <c r="B23" s="160" t="s">
        <v>63</v>
      </c>
      <c r="C23" s="161">
        <f>SUM(C6:C22)</f>
        <v>64</v>
      </c>
      <c r="D23" s="109"/>
      <c r="E23" s="213"/>
      <c r="F23" s="161"/>
      <c r="G23" s="161"/>
      <c r="H23" s="161"/>
      <c r="I23" s="89"/>
      <c r="J23" s="167">
        <f>SUM(J6:J22)</f>
        <v>308.36204</v>
      </c>
      <c r="K23" s="111">
        <f>SUM(K6:K22)</f>
        <v>77.70188</v>
      </c>
      <c r="L23" s="162">
        <f>SUM(L6:L22)</f>
        <v>693.8460799999999</v>
      </c>
      <c r="M23" s="111">
        <f>SUM(M6:M22)</f>
        <v>54.77656</v>
      </c>
      <c r="N23" s="163">
        <f>SUM(N6:N22)</f>
        <v>39.48044</v>
      </c>
    </row>
    <row r="24" spans="10:14" ht="12.75">
      <c r="J24" s="19"/>
      <c r="K24" s="19"/>
      <c r="L24" s="19"/>
      <c r="M24" s="19"/>
      <c r="N24" s="19"/>
    </row>
    <row r="25" ht="12.75">
      <c r="B25" s="10"/>
    </row>
    <row r="26" spans="2:5" ht="12.75">
      <c r="B26" s="10"/>
      <c r="E26" s="10"/>
    </row>
    <row r="27" spans="1:2" ht="12.75">
      <c r="A27" s="258" t="s">
        <v>192</v>
      </c>
      <c r="B27" s="10"/>
    </row>
    <row r="28" spans="1:6" ht="12.75">
      <c r="A28" s="258"/>
      <c r="B28" s="10"/>
      <c r="C28" s="113"/>
      <c r="D28" s="10"/>
      <c r="E28" s="10"/>
      <c r="F28" s="68"/>
    </row>
    <row r="29" ht="12.75">
      <c r="A29" s="258"/>
    </row>
    <row r="30" ht="12.75">
      <c r="N30" s="53"/>
    </row>
    <row r="31" ht="12.75">
      <c r="B31" s="10"/>
    </row>
  </sheetData>
  <sheetProtection/>
  <mergeCells count="3">
    <mergeCell ref="J4:N4"/>
    <mergeCell ref="A27:A29"/>
    <mergeCell ref="A2:N2"/>
  </mergeCells>
  <conditionalFormatting sqref="M24:N24 J24">
    <cfRule type="cellIs" priority="1" dxfId="0" operator="greaterThanOrEqual" stopIfTrue="1">
      <formula>$J$25</formula>
    </cfRule>
  </conditionalFormatting>
  <conditionalFormatting sqref="L24">
    <cfRule type="cellIs" priority="2" dxfId="0" operator="greaterThanOrEqual" stopIfTrue="1">
      <formula>$L$25</formula>
    </cfRule>
  </conditionalFormatting>
  <conditionalFormatting sqref="K24">
    <cfRule type="cellIs" priority="3" dxfId="0" operator="greaterThanOrEqual" stopIfTrue="1">
      <formula>$K$25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&amp;C&amp;"Arial,Bold"&amp;16Table C-3
Construction Equipment Emissions&amp;12
</oddHeader>
    <oddFooter>&amp;L&amp;8M:\MC\2393 BP\EIR\&amp;F:&amp;A&amp;R&amp;8&amp;D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N31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2" max="2" width="36.7109375" style="0" customWidth="1"/>
    <col min="3" max="3" width="9.7109375" style="112" customWidth="1"/>
    <col min="7" max="7" width="9.00390625" style="0" customWidth="1"/>
  </cols>
  <sheetData>
    <row r="1" ht="12" customHeight="1"/>
    <row r="2" spans="1:14" ht="15.75" customHeight="1">
      <c r="A2" s="254" t="s">
        <v>171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3.5" thickBot="1"/>
    <row r="4" spans="2:14" ht="12.75">
      <c r="B4" s="153" t="s">
        <v>57</v>
      </c>
      <c r="C4" s="154"/>
      <c r="D4" s="212" t="s">
        <v>58</v>
      </c>
      <c r="E4" s="209"/>
      <c r="F4" s="157" t="s">
        <v>59</v>
      </c>
      <c r="G4" s="157"/>
      <c r="H4" s="26"/>
      <c r="I4" s="210"/>
      <c r="J4" s="259" t="s">
        <v>60</v>
      </c>
      <c r="K4" s="260"/>
      <c r="L4" s="260"/>
      <c r="M4" s="260"/>
      <c r="N4" s="261"/>
    </row>
    <row r="5" spans="2:14" ht="13.5" thickBot="1">
      <c r="B5" s="158" t="s">
        <v>5</v>
      </c>
      <c r="C5" s="69" t="s">
        <v>38</v>
      </c>
      <c r="D5" s="207" t="s">
        <v>61</v>
      </c>
      <c r="E5" s="170" t="s">
        <v>0</v>
      </c>
      <c r="F5" s="64" t="s">
        <v>1</v>
      </c>
      <c r="G5" s="64" t="s">
        <v>2</v>
      </c>
      <c r="H5" s="64" t="s">
        <v>6</v>
      </c>
      <c r="I5" s="177" t="s">
        <v>3</v>
      </c>
      <c r="J5" s="170" t="s">
        <v>0</v>
      </c>
      <c r="K5" s="64" t="s">
        <v>1</v>
      </c>
      <c r="L5" s="64" t="s">
        <v>2</v>
      </c>
      <c r="M5" s="64" t="s">
        <v>6</v>
      </c>
      <c r="N5" s="159" t="s">
        <v>3</v>
      </c>
    </row>
    <row r="6" spans="2:14" ht="13.5" thickTop="1">
      <c r="B6" s="65" t="s">
        <v>133</v>
      </c>
      <c r="C6" s="15">
        <v>1</v>
      </c>
      <c r="D6" s="208">
        <v>8</v>
      </c>
      <c r="E6" s="175">
        <v>0.523125</v>
      </c>
      <c r="F6" s="121">
        <v>0.10462500000000001</v>
      </c>
      <c r="G6" s="121">
        <v>0.76725</v>
      </c>
      <c r="H6" s="121">
        <v>0.06975</v>
      </c>
      <c r="I6" s="176">
        <v>0.034875</v>
      </c>
      <c r="J6" s="168">
        <f aca="true" t="shared" si="0" ref="J6:J22">E6*$D6*$C6</f>
        <v>4.185</v>
      </c>
      <c r="K6" s="142">
        <f aca="true" t="shared" si="1" ref="K6:K22">F6*$D6*$C6</f>
        <v>0.8370000000000001</v>
      </c>
      <c r="L6" s="142">
        <f aca="true" t="shared" si="2" ref="L6:L22">G6*$D6*$C6</f>
        <v>6.138</v>
      </c>
      <c r="M6" s="142">
        <f aca="true" t="shared" si="3" ref="M6:M22">H6*$D6*$C6</f>
        <v>0.558</v>
      </c>
      <c r="N6" s="169">
        <f aca="true" t="shared" si="4" ref="N6:N22">I6*$D6*$C6</f>
        <v>0.279</v>
      </c>
    </row>
    <row r="7" spans="2:14" ht="12.75">
      <c r="B7" s="65" t="s">
        <v>134</v>
      </c>
      <c r="C7" s="15">
        <v>0</v>
      </c>
      <c r="D7" s="208">
        <v>8</v>
      </c>
      <c r="E7" s="171">
        <v>0.523125</v>
      </c>
      <c r="F7" s="120">
        <v>0.10462500000000001</v>
      </c>
      <c r="G7" s="120">
        <v>0.76725</v>
      </c>
      <c r="H7" s="120">
        <v>0.06975</v>
      </c>
      <c r="I7" s="172">
        <v>0.034875</v>
      </c>
      <c r="J7" s="168">
        <f t="shared" si="0"/>
        <v>0</v>
      </c>
      <c r="K7" s="142">
        <f t="shared" si="1"/>
        <v>0</v>
      </c>
      <c r="L7" s="142">
        <f t="shared" si="2"/>
        <v>0</v>
      </c>
      <c r="M7" s="142">
        <f t="shared" si="3"/>
        <v>0</v>
      </c>
      <c r="N7" s="169">
        <f t="shared" si="4"/>
        <v>0</v>
      </c>
    </row>
    <row r="8" spans="2:14" ht="12.75">
      <c r="B8" s="65" t="s">
        <v>140</v>
      </c>
      <c r="C8" s="15">
        <v>5</v>
      </c>
      <c r="D8" s="208">
        <v>8</v>
      </c>
      <c r="E8" s="171">
        <v>0.25871999999999995</v>
      </c>
      <c r="F8" s="120">
        <v>0.04704</v>
      </c>
      <c r="G8" s="120">
        <v>0.42335999999999996</v>
      </c>
      <c r="H8" s="120">
        <v>0.04704</v>
      </c>
      <c r="I8" s="172">
        <v>0.02352</v>
      </c>
      <c r="J8" s="168">
        <f t="shared" si="0"/>
        <v>10.348799999999997</v>
      </c>
      <c r="K8" s="142">
        <f t="shared" si="1"/>
        <v>1.8816</v>
      </c>
      <c r="L8" s="142">
        <f t="shared" si="2"/>
        <v>16.934399999999997</v>
      </c>
      <c r="M8" s="142">
        <f t="shared" si="3"/>
        <v>1.8816</v>
      </c>
      <c r="N8" s="169">
        <f t="shared" si="4"/>
        <v>0.9408</v>
      </c>
    </row>
    <row r="9" spans="2:14" ht="12.75">
      <c r="B9" s="65" t="s">
        <v>141</v>
      </c>
      <c r="C9" s="15">
        <v>1</v>
      </c>
      <c r="D9" s="208">
        <v>8</v>
      </c>
      <c r="E9" s="171">
        <v>0.030420000000000003</v>
      </c>
      <c r="F9" s="120">
        <v>0.43601999999999996</v>
      </c>
      <c r="G9" s="120">
        <v>0.040560000000000006</v>
      </c>
      <c r="H9" s="120">
        <v>0.005070000000000001</v>
      </c>
      <c r="I9" s="172">
        <v>0.0025350000000000004</v>
      </c>
      <c r="J9" s="168">
        <f t="shared" si="0"/>
        <v>0.24336000000000002</v>
      </c>
      <c r="K9" s="142">
        <f t="shared" si="1"/>
        <v>3.4881599999999997</v>
      </c>
      <c r="L9" s="142">
        <f t="shared" si="2"/>
        <v>0.32448000000000005</v>
      </c>
      <c r="M9" s="142">
        <f t="shared" si="3"/>
        <v>0.040560000000000006</v>
      </c>
      <c r="N9" s="169">
        <f t="shared" si="4"/>
        <v>0.020280000000000003</v>
      </c>
    </row>
    <row r="10" spans="2:14" ht="12.75">
      <c r="B10" s="65" t="s">
        <v>139</v>
      </c>
      <c r="C10" s="15">
        <v>15</v>
      </c>
      <c r="D10" s="208">
        <v>8</v>
      </c>
      <c r="E10" s="171">
        <v>0.9675</v>
      </c>
      <c r="F10" s="120">
        <v>0.3225</v>
      </c>
      <c r="G10" s="120">
        <v>2.4725</v>
      </c>
      <c r="H10" s="120">
        <v>0.215</v>
      </c>
      <c r="I10" s="172">
        <v>0.16125</v>
      </c>
      <c r="J10" s="168">
        <f t="shared" si="0"/>
        <v>116.10000000000001</v>
      </c>
      <c r="K10" s="142">
        <f t="shared" si="1"/>
        <v>38.7</v>
      </c>
      <c r="L10" s="142">
        <f t="shared" si="2"/>
        <v>296.70000000000005</v>
      </c>
      <c r="M10" s="142">
        <f t="shared" si="3"/>
        <v>25.8</v>
      </c>
      <c r="N10" s="169">
        <f t="shared" si="4"/>
        <v>19.35</v>
      </c>
    </row>
    <row r="11" spans="2:14" ht="12.75">
      <c r="B11" s="65" t="s">
        <v>144</v>
      </c>
      <c r="C11" s="15">
        <v>2</v>
      </c>
      <c r="D11" s="208">
        <v>8</v>
      </c>
      <c r="E11" s="171">
        <v>1.57896</v>
      </c>
      <c r="F11" s="120">
        <v>0.52632</v>
      </c>
      <c r="G11" s="120">
        <v>4.03512</v>
      </c>
      <c r="H11" s="120">
        <v>0.35088</v>
      </c>
      <c r="I11" s="172">
        <v>0.26316</v>
      </c>
      <c r="J11" s="168">
        <f t="shared" si="0"/>
        <v>25.26336</v>
      </c>
      <c r="K11" s="142">
        <f t="shared" si="1"/>
        <v>8.42112</v>
      </c>
      <c r="L11" s="142">
        <f t="shared" si="2"/>
        <v>64.56192</v>
      </c>
      <c r="M11" s="142">
        <f t="shared" si="3"/>
        <v>5.61408</v>
      </c>
      <c r="N11" s="169">
        <f t="shared" si="4"/>
        <v>4.21056</v>
      </c>
    </row>
    <row r="12" spans="2:14" ht="12.75">
      <c r="B12" s="65" t="s">
        <v>135</v>
      </c>
      <c r="C12" s="15">
        <v>1</v>
      </c>
      <c r="D12" s="208">
        <v>8</v>
      </c>
      <c r="E12" s="171">
        <v>2.58</v>
      </c>
      <c r="F12" s="120">
        <v>0.387</v>
      </c>
      <c r="G12" s="120">
        <v>3.096</v>
      </c>
      <c r="H12" s="120">
        <v>0.258</v>
      </c>
      <c r="I12" s="172">
        <v>0.1935</v>
      </c>
      <c r="J12" s="168">
        <f t="shared" si="0"/>
        <v>20.64</v>
      </c>
      <c r="K12" s="142">
        <f t="shared" si="1"/>
        <v>3.096</v>
      </c>
      <c r="L12" s="142">
        <f t="shared" si="2"/>
        <v>24.768</v>
      </c>
      <c r="M12" s="142">
        <f t="shared" si="3"/>
        <v>2.064</v>
      </c>
      <c r="N12" s="169">
        <f t="shared" si="4"/>
        <v>1.548</v>
      </c>
    </row>
    <row r="13" spans="2:14" ht="12.75">
      <c r="B13" s="65" t="s">
        <v>110</v>
      </c>
      <c r="C13" s="15">
        <v>2</v>
      </c>
      <c r="D13" s="208">
        <v>8</v>
      </c>
      <c r="E13" s="171">
        <v>1.595</v>
      </c>
      <c r="F13" s="120">
        <v>0.145</v>
      </c>
      <c r="G13" s="120">
        <v>3.48</v>
      </c>
      <c r="H13" s="120">
        <v>0.29</v>
      </c>
      <c r="I13" s="172">
        <v>0.2175</v>
      </c>
      <c r="J13" s="168">
        <f t="shared" si="0"/>
        <v>25.52</v>
      </c>
      <c r="K13" s="142">
        <f t="shared" si="1"/>
        <v>2.32</v>
      </c>
      <c r="L13" s="142">
        <f t="shared" si="2"/>
        <v>55.68</v>
      </c>
      <c r="M13" s="142">
        <f t="shared" si="3"/>
        <v>4.64</v>
      </c>
      <c r="N13" s="169">
        <f t="shared" si="4"/>
        <v>3.48</v>
      </c>
    </row>
    <row r="14" spans="2:14" ht="12.75">
      <c r="B14" s="65" t="s">
        <v>145</v>
      </c>
      <c r="C14" s="15">
        <v>8</v>
      </c>
      <c r="D14" s="208">
        <v>8</v>
      </c>
      <c r="E14" s="171">
        <v>0.3081</v>
      </c>
      <c r="F14" s="120">
        <v>0.0711</v>
      </c>
      <c r="G14" s="120">
        <v>0.7346999999999999</v>
      </c>
      <c r="H14" s="120">
        <v>0.0474</v>
      </c>
      <c r="I14" s="172">
        <v>0.03555</v>
      </c>
      <c r="J14" s="168">
        <f t="shared" si="0"/>
        <v>19.7184</v>
      </c>
      <c r="K14" s="142">
        <f t="shared" si="1"/>
        <v>4.5504</v>
      </c>
      <c r="L14" s="142">
        <f t="shared" si="2"/>
        <v>47.020799999999994</v>
      </c>
      <c r="M14" s="142">
        <f t="shared" si="3"/>
        <v>3.0336</v>
      </c>
      <c r="N14" s="169">
        <f t="shared" si="4"/>
        <v>2.2752</v>
      </c>
    </row>
    <row r="15" spans="2:14" ht="12.75">
      <c r="B15" s="65" t="s">
        <v>62</v>
      </c>
      <c r="C15" s="15">
        <v>0</v>
      </c>
      <c r="D15" s="208">
        <v>8</v>
      </c>
      <c r="E15" s="171">
        <v>1.46475</v>
      </c>
      <c r="F15" s="120">
        <v>0.29295000000000004</v>
      </c>
      <c r="G15" s="120">
        <v>2.1483000000000003</v>
      </c>
      <c r="H15" s="120">
        <v>0.1953</v>
      </c>
      <c r="I15" s="172">
        <v>0.09765</v>
      </c>
      <c r="J15" s="168">
        <f t="shared" si="0"/>
        <v>0</v>
      </c>
      <c r="K15" s="142">
        <f t="shared" si="1"/>
        <v>0</v>
      </c>
      <c r="L15" s="142">
        <f t="shared" si="2"/>
        <v>0</v>
      </c>
      <c r="M15" s="142">
        <f t="shared" si="3"/>
        <v>0</v>
      </c>
      <c r="N15" s="169">
        <f t="shared" si="4"/>
        <v>0</v>
      </c>
    </row>
    <row r="16" spans="2:14" ht="12.75">
      <c r="B16" s="65" t="s">
        <v>213</v>
      </c>
      <c r="C16" s="15">
        <v>6</v>
      </c>
      <c r="D16" s="208">
        <v>8</v>
      </c>
      <c r="E16" s="171">
        <v>0.635</v>
      </c>
      <c r="F16" s="120">
        <v>0.176</v>
      </c>
      <c r="G16" s="120">
        <v>2.499</v>
      </c>
      <c r="H16" s="120">
        <v>0.002</v>
      </c>
      <c r="I16" s="172">
        <v>0.086</v>
      </c>
      <c r="J16" s="168">
        <f t="shared" si="0"/>
        <v>30.48</v>
      </c>
      <c r="K16" s="142">
        <f t="shared" si="1"/>
        <v>8.448</v>
      </c>
      <c r="L16" s="142">
        <f t="shared" si="2"/>
        <v>119.952</v>
      </c>
      <c r="M16" s="142">
        <f t="shared" si="3"/>
        <v>0.096</v>
      </c>
      <c r="N16" s="169">
        <f t="shared" si="4"/>
        <v>4.128</v>
      </c>
    </row>
    <row r="17" spans="2:14" ht="12.75">
      <c r="B17" s="65" t="s">
        <v>142</v>
      </c>
      <c r="C17" s="15">
        <v>9</v>
      </c>
      <c r="D17" s="208">
        <v>8</v>
      </c>
      <c r="E17" s="171">
        <v>0.42672499999999997</v>
      </c>
      <c r="F17" s="120">
        <v>0.09847500000000001</v>
      </c>
      <c r="G17" s="120">
        <v>1.0175750000000001</v>
      </c>
      <c r="H17" s="120">
        <v>0.06565</v>
      </c>
      <c r="I17" s="172">
        <v>0.06565</v>
      </c>
      <c r="J17" s="168">
        <f t="shared" si="0"/>
        <v>30.724199999999996</v>
      </c>
      <c r="K17" s="142">
        <f t="shared" si="1"/>
        <v>7.0902</v>
      </c>
      <c r="L17" s="142">
        <f t="shared" si="2"/>
        <v>73.26540000000001</v>
      </c>
      <c r="M17" s="142">
        <f t="shared" si="3"/>
        <v>4.7268</v>
      </c>
      <c r="N17" s="169">
        <f t="shared" si="4"/>
        <v>4.7268</v>
      </c>
    </row>
    <row r="18" spans="2:14" ht="12.75">
      <c r="B18" s="65" t="s">
        <v>214</v>
      </c>
      <c r="C18" s="15">
        <v>4</v>
      </c>
      <c r="D18" s="208">
        <v>4</v>
      </c>
      <c r="E18" s="171">
        <v>1.8</v>
      </c>
      <c r="F18" s="120">
        <v>0.19</v>
      </c>
      <c r="G18" s="120">
        <v>4.17</v>
      </c>
      <c r="H18" s="120">
        <v>0.45</v>
      </c>
      <c r="I18" s="172">
        <v>0.26</v>
      </c>
      <c r="J18" s="168">
        <f t="shared" si="0"/>
        <v>28.8</v>
      </c>
      <c r="K18" s="142">
        <f t="shared" si="1"/>
        <v>3.04</v>
      </c>
      <c r="L18" s="142">
        <f t="shared" si="2"/>
        <v>66.72</v>
      </c>
      <c r="M18" s="142">
        <f t="shared" si="3"/>
        <v>7.2</v>
      </c>
      <c r="N18" s="169">
        <f t="shared" si="4"/>
        <v>4.16</v>
      </c>
    </row>
    <row r="19" spans="2:14" ht="12.75">
      <c r="B19" s="65" t="s">
        <v>136</v>
      </c>
      <c r="C19" s="15">
        <v>0</v>
      </c>
      <c r="D19" s="208">
        <v>12</v>
      </c>
      <c r="E19" s="171">
        <v>0.11725999999999999</v>
      </c>
      <c r="F19" s="120">
        <v>0.021320000000000002</v>
      </c>
      <c r="G19" s="120">
        <v>0.19187999999999997</v>
      </c>
      <c r="H19" s="120">
        <v>0.021320000000000002</v>
      </c>
      <c r="I19" s="172">
        <v>0.010660000000000001</v>
      </c>
      <c r="J19" s="168">
        <f t="shared" si="0"/>
        <v>0</v>
      </c>
      <c r="K19" s="142">
        <f t="shared" si="1"/>
        <v>0</v>
      </c>
      <c r="L19" s="142">
        <f t="shared" si="2"/>
        <v>0</v>
      </c>
      <c r="M19" s="142">
        <f t="shared" si="3"/>
        <v>0</v>
      </c>
      <c r="N19" s="169">
        <f t="shared" si="4"/>
        <v>0</v>
      </c>
    </row>
    <row r="20" spans="2:14" ht="12.75">
      <c r="B20" s="65" t="s">
        <v>137</v>
      </c>
      <c r="C20" s="15">
        <v>2</v>
      </c>
      <c r="D20" s="208">
        <v>8</v>
      </c>
      <c r="E20" s="171">
        <v>1.290375</v>
      </c>
      <c r="F20" s="120">
        <v>0.25807500000000005</v>
      </c>
      <c r="G20" s="120">
        <v>1.8925499999999997</v>
      </c>
      <c r="H20" s="120">
        <v>0.17205</v>
      </c>
      <c r="I20" s="172">
        <v>0.086025</v>
      </c>
      <c r="J20" s="168">
        <f t="shared" si="0"/>
        <v>20.646</v>
      </c>
      <c r="K20" s="142">
        <f t="shared" si="1"/>
        <v>4.129200000000001</v>
      </c>
      <c r="L20" s="142">
        <f t="shared" si="2"/>
        <v>30.280799999999996</v>
      </c>
      <c r="M20" s="142">
        <f t="shared" si="3"/>
        <v>2.7528</v>
      </c>
      <c r="N20" s="169">
        <f t="shared" si="4"/>
        <v>1.3764</v>
      </c>
    </row>
    <row r="21" spans="2:14" ht="12.75">
      <c r="B21" s="150" t="s">
        <v>143</v>
      </c>
      <c r="C21" s="15">
        <v>2</v>
      </c>
      <c r="D21" s="208">
        <v>8</v>
      </c>
      <c r="E21" s="171">
        <v>0.7866</v>
      </c>
      <c r="F21" s="120">
        <v>0.15732000000000002</v>
      </c>
      <c r="G21" s="120">
        <v>1.88784</v>
      </c>
      <c r="H21" s="120">
        <v>0.15732000000000002</v>
      </c>
      <c r="I21" s="172">
        <v>0.07866000000000001</v>
      </c>
      <c r="J21" s="168">
        <f t="shared" si="0"/>
        <v>12.5856</v>
      </c>
      <c r="K21" s="142">
        <f t="shared" si="1"/>
        <v>2.5171200000000002</v>
      </c>
      <c r="L21" s="142">
        <f t="shared" si="2"/>
        <v>30.20544</v>
      </c>
      <c r="M21" s="142">
        <f t="shared" si="3"/>
        <v>2.5171200000000002</v>
      </c>
      <c r="N21" s="169">
        <f t="shared" si="4"/>
        <v>1.2585600000000001</v>
      </c>
    </row>
    <row r="22" spans="2:14" ht="12.75" customHeight="1">
      <c r="B22" s="164" t="s">
        <v>138</v>
      </c>
      <c r="C22" s="15">
        <v>28</v>
      </c>
      <c r="D22" s="127">
        <v>8</v>
      </c>
      <c r="E22" s="171">
        <v>0.24254999999999996</v>
      </c>
      <c r="F22" s="120">
        <v>0.0441</v>
      </c>
      <c r="G22" s="120">
        <v>0.3969</v>
      </c>
      <c r="H22" s="120">
        <v>0.0441</v>
      </c>
      <c r="I22" s="172">
        <v>0.02205</v>
      </c>
      <c r="J22" s="165">
        <f t="shared" si="0"/>
        <v>54.33119999999999</v>
      </c>
      <c r="K22" s="20">
        <f t="shared" si="1"/>
        <v>9.8784</v>
      </c>
      <c r="L22" s="20">
        <f t="shared" si="2"/>
        <v>88.90559999999999</v>
      </c>
      <c r="M22" s="20">
        <f t="shared" si="3"/>
        <v>9.8784</v>
      </c>
      <c r="N22" s="166">
        <f t="shared" si="4"/>
        <v>4.9392</v>
      </c>
    </row>
    <row r="23" spans="2:14" ht="13.5" thickBot="1">
      <c r="B23" s="160" t="s">
        <v>63</v>
      </c>
      <c r="C23" s="161">
        <f>SUM(C6:C22)</f>
        <v>86</v>
      </c>
      <c r="D23" s="109"/>
      <c r="E23" s="213"/>
      <c r="F23" s="161"/>
      <c r="G23" s="161"/>
      <c r="H23" s="161"/>
      <c r="I23" s="89"/>
      <c r="J23" s="167">
        <f>SUM(J6:J22)</f>
        <v>399.58592</v>
      </c>
      <c r="K23" s="111">
        <f>SUM(K6:K22)</f>
        <v>98.39720000000003</v>
      </c>
      <c r="L23" s="162">
        <f>SUM(L6:L22)</f>
        <v>921.45684</v>
      </c>
      <c r="M23" s="111">
        <f>SUM(M6:M22)</f>
        <v>70.80296</v>
      </c>
      <c r="N23" s="163">
        <f>SUM(N6:N22)</f>
        <v>52.6928</v>
      </c>
    </row>
    <row r="24" spans="10:14" ht="12.75">
      <c r="J24" s="19"/>
      <c r="K24" s="19"/>
      <c r="L24" s="19"/>
      <c r="M24" s="19"/>
      <c r="N24" s="19"/>
    </row>
    <row r="25" ht="12.75">
      <c r="B25" s="10"/>
    </row>
    <row r="26" spans="2:5" ht="12.75">
      <c r="B26" s="10"/>
      <c r="E26" s="10"/>
    </row>
    <row r="27" spans="1:2" ht="12.75">
      <c r="A27" s="258" t="s">
        <v>193</v>
      </c>
      <c r="B27" s="10"/>
    </row>
    <row r="28" spans="1:6" ht="12.75">
      <c r="A28" s="258"/>
      <c r="B28" s="10"/>
      <c r="C28" s="113"/>
      <c r="D28" s="10"/>
      <c r="E28" s="10"/>
      <c r="F28" s="68"/>
    </row>
    <row r="29" ht="12.75">
      <c r="A29" s="258"/>
    </row>
    <row r="30" ht="12.75">
      <c r="N30" s="53"/>
    </row>
    <row r="31" ht="12.75">
      <c r="B31" s="10"/>
    </row>
  </sheetData>
  <sheetProtection/>
  <mergeCells count="3">
    <mergeCell ref="J4:N4"/>
    <mergeCell ref="A27:A29"/>
    <mergeCell ref="A2:N2"/>
  </mergeCells>
  <conditionalFormatting sqref="M24:N24 J24">
    <cfRule type="cellIs" priority="1" dxfId="0" operator="greaterThanOrEqual" stopIfTrue="1">
      <formula>$J$25</formula>
    </cfRule>
  </conditionalFormatting>
  <conditionalFormatting sqref="L24">
    <cfRule type="cellIs" priority="2" dxfId="0" operator="greaterThanOrEqual" stopIfTrue="1">
      <formula>$L$25</formula>
    </cfRule>
  </conditionalFormatting>
  <conditionalFormatting sqref="K24">
    <cfRule type="cellIs" priority="3" dxfId="0" operator="greaterThanOrEqual" stopIfTrue="1">
      <formula>$K$25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&amp;C&amp;"Arial,Bold"&amp;16Table C-4
Construction Equipment Emissions&amp;12
</oddHeader>
    <oddFooter>&amp;L&amp;8M:\MC\2393 BP\EIR\&amp;F:&amp;A&amp;R&amp;8&amp;D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N31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2" max="2" width="36.7109375" style="0" customWidth="1"/>
    <col min="3" max="3" width="9.7109375" style="112" customWidth="1"/>
    <col min="7" max="7" width="9.00390625" style="0" customWidth="1"/>
  </cols>
  <sheetData>
    <row r="1" ht="12" customHeight="1"/>
    <row r="2" spans="1:14" ht="15.75" customHeight="1">
      <c r="A2" s="254" t="s">
        <v>179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3.5" thickBot="1"/>
    <row r="4" spans="2:14" ht="12.75">
      <c r="B4" s="153" t="s">
        <v>57</v>
      </c>
      <c r="C4" s="154"/>
      <c r="D4" s="212" t="s">
        <v>58</v>
      </c>
      <c r="E4" s="209"/>
      <c r="F4" s="157" t="s">
        <v>59</v>
      </c>
      <c r="G4" s="157"/>
      <c r="H4" s="26"/>
      <c r="I4" s="210"/>
      <c r="J4" s="259" t="s">
        <v>60</v>
      </c>
      <c r="K4" s="260"/>
      <c r="L4" s="260"/>
      <c r="M4" s="260"/>
      <c r="N4" s="261"/>
    </row>
    <row r="5" spans="2:14" ht="13.5" thickBot="1">
      <c r="B5" s="158" t="s">
        <v>5</v>
      </c>
      <c r="C5" s="69" t="s">
        <v>38</v>
      </c>
      <c r="D5" s="207" t="s">
        <v>61</v>
      </c>
      <c r="E5" s="170" t="s">
        <v>0</v>
      </c>
      <c r="F5" s="64" t="s">
        <v>1</v>
      </c>
      <c r="G5" s="64" t="s">
        <v>2</v>
      </c>
      <c r="H5" s="64" t="s">
        <v>6</v>
      </c>
      <c r="I5" s="177" t="s">
        <v>3</v>
      </c>
      <c r="J5" s="170" t="s">
        <v>0</v>
      </c>
      <c r="K5" s="64" t="s">
        <v>1</v>
      </c>
      <c r="L5" s="64" t="s">
        <v>2</v>
      </c>
      <c r="M5" s="64" t="s">
        <v>6</v>
      </c>
      <c r="N5" s="159" t="s">
        <v>3</v>
      </c>
    </row>
    <row r="6" spans="2:14" ht="13.5" thickTop="1">
      <c r="B6" s="65" t="s">
        <v>133</v>
      </c>
      <c r="C6" s="15">
        <v>0</v>
      </c>
      <c r="D6" s="208">
        <v>8</v>
      </c>
      <c r="E6" s="175">
        <v>0.523125</v>
      </c>
      <c r="F6" s="121">
        <v>0.10462500000000001</v>
      </c>
      <c r="G6" s="121">
        <v>0.76725</v>
      </c>
      <c r="H6" s="121">
        <v>0.06975</v>
      </c>
      <c r="I6" s="176">
        <v>0.034875</v>
      </c>
      <c r="J6" s="168">
        <f aca="true" t="shared" si="0" ref="J6:J22">E6*$D6*$C6</f>
        <v>0</v>
      </c>
      <c r="K6" s="142">
        <f aca="true" t="shared" si="1" ref="K6:K22">F6*$D6*$C6</f>
        <v>0</v>
      </c>
      <c r="L6" s="142">
        <f aca="true" t="shared" si="2" ref="L6:L22">G6*$D6*$C6</f>
        <v>0</v>
      </c>
      <c r="M6" s="142">
        <f aca="true" t="shared" si="3" ref="M6:M22">H6*$D6*$C6</f>
        <v>0</v>
      </c>
      <c r="N6" s="169">
        <f aca="true" t="shared" si="4" ref="N6:N22">I6*$D6*$C6</f>
        <v>0</v>
      </c>
    </row>
    <row r="7" spans="2:14" ht="12.75">
      <c r="B7" s="65" t="s">
        <v>134</v>
      </c>
      <c r="C7" s="15">
        <v>0</v>
      </c>
      <c r="D7" s="208">
        <v>8</v>
      </c>
      <c r="E7" s="171">
        <v>0.523125</v>
      </c>
      <c r="F7" s="120">
        <v>0.10462500000000001</v>
      </c>
      <c r="G7" s="120">
        <v>0.76725</v>
      </c>
      <c r="H7" s="120">
        <v>0.06975</v>
      </c>
      <c r="I7" s="172">
        <v>0.034875</v>
      </c>
      <c r="J7" s="168">
        <f t="shared" si="0"/>
        <v>0</v>
      </c>
      <c r="K7" s="142">
        <f t="shared" si="1"/>
        <v>0</v>
      </c>
      <c r="L7" s="142">
        <f t="shared" si="2"/>
        <v>0</v>
      </c>
      <c r="M7" s="142">
        <f t="shared" si="3"/>
        <v>0</v>
      </c>
      <c r="N7" s="169">
        <f t="shared" si="4"/>
        <v>0</v>
      </c>
    </row>
    <row r="8" spans="2:14" ht="12.75">
      <c r="B8" s="65" t="s">
        <v>140</v>
      </c>
      <c r="C8" s="15">
        <v>6</v>
      </c>
      <c r="D8" s="208">
        <v>8</v>
      </c>
      <c r="E8" s="171">
        <v>0.25871999999999995</v>
      </c>
      <c r="F8" s="120">
        <v>0.04704</v>
      </c>
      <c r="G8" s="120">
        <v>0.42335999999999996</v>
      </c>
      <c r="H8" s="120">
        <v>0.04704</v>
      </c>
      <c r="I8" s="172">
        <v>0.02352</v>
      </c>
      <c r="J8" s="168">
        <f t="shared" si="0"/>
        <v>12.418559999999998</v>
      </c>
      <c r="K8" s="142">
        <f t="shared" si="1"/>
        <v>2.25792</v>
      </c>
      <c r="L8" s="142">
        <f t="shared" si="2"/>
        <v>20.321279999999998</v>
      </c>
      <c r="M8" s="142">
        <f t="shared" si="3"/>
        <v>2.25792</v>
      </c>
      <c r="N8" s="169">
        <f t="shared" si="4"/>
        <v>1.12896</v>
      </c>
    </row>
    <row r="9" spans="2:14" ht="12.75">
      <c r="B9" s="65" t="s">
        <v>141</v>
      </c>
      <c r="C9" s="15">
        <v>0</v>
      </c>
      <c r="D9" s="208">
        <v>8</v>
      </c>
      <c r="E9" s="171">
        <v>0.030420000000000003</v>
      </c>
      <c r="F9" s="120">
        <v>0.43601999999999996</v>
      </c>
      <c r="G9" s="120">
        <v>0.040560000000000006</v>
      </c>
      <c r="H9" s="120">
        <v>0.005070000000000001</v>
      </c>
      <c r="I9" s="172">
        <v>0.0025350000000000004</v>
      </c>
      <c r="J9" s="168">
        <f t="shared" si="0"/>
        <v>0</v>
      </c>
      <c r="K9" s="142">
        <f t="shared" si="1"/>
        <v>0</v>
      </c>
      <c r="L9" s="142">
        <f t="shared" si="2"/>
        <v>0</v>
      </c>
      <c r="M9" s="142">
        <f t="shared" si="3"/>
        <v>0</v>
      </c>
      <c r="N9" s="169">
        <f t="shared" si="4"/>
        <v>0</v>
      </c>
    </row>
    <row r="10" spans="2:14" ht="12.75">
      <c r="B10" s="65" t="s">
        <v>139</v>
      </c>
      <c r="C10" s="15">
        <v>21</v>
      </c>
      <c r="D10" s="208">
        <v>8</v>
      </c>
      <c r="E10" s="171">
        <v>0.9675</v>
      </c>
      <c r="F10" s="120">
        <v>0.3225</v>
      </c>
      <c r="G10" s="120">
        <v>2.4725</v>
      </c>
      <c r="H10" s="120">
        <v>0.215</v>
      </c>
      <c r="I10" s="172">
        <v>0.16125</v>
      </c>
      <c r="J10" s="168">
        <f t="shared" si="0"/>
        <v>162.54</v>
      </c>
      <c r="K10" s="142">
        <f t="shared" si="1"/>
        <v>54.18</v>
      </c>
      <c r="L10" s="142">
        <f t="shared" si="2"/>
        <v>415.38</v>
      </c>
      <c r="M10" s="142">
        <f t="shared" si="3"/>
        <v>36.12</v>
      </c>
      <c r="N10" s="169">
        <f t="shared" si="4"/>
        <v>27.09</v>
      </c>
    </row>
    <row r="11" spans="2:14" ht="12.75">
      <c r="B11" s="65" t="s">
        <v>144</v>
      </c>
      <c r="C11" s="15">
        <v>6</v>
      </c>
      <c r="D11" s="208">
        <v>8</v>
      </c>
      <c r="E11" s="171">
        <v>1.57896</v>
      </c>
      <c r="F11" s="120">
        <v>0.52632</v>
      </c>
      <c r="G11" s="120">
        <v>4.03512</v>
      </c>
      <c r="H11" s="120">
        <v>0.35088</v>
      </c>
      <c r="I11" s="172">
        <v>0.26316</v>
      </c>
      <c r="J11" s="168">
        <f t="shared" si="0"/>
        <v>75.79007999999999</v>
      </c>
      <c r="K11" s="142">
        <f t="shared" si="1"/>
        <v>25.26336</v>
      </c>
      <c r="L11" s="142">
        <f t="shared" si="2"/>
        <v>193.68576000000002</v>
      </c>
      <c r="M11" s="142">
        <f t="shared" si="3"/>
        <v>16.84224</v>
      </c>
      <c r="N11" s="169">
        <f t="shared" si="4"/>
        <v>12.63168</v>
      </c>
    </row>
    <row r="12" spans="2:14" ht="12.75">
      <c r="B12" s="65" t="s">
        <v>135</v>
      </c>
      <c r="C12" s="15">
        <v>0</v>
      </c>
      <c r="D12" s="208">
        <v>8</v>
      </c>
      <c r="E12" s="171">
        <v>2.58</v>
      </c>
      <c r="F12" s="120">
        <v>0.387</v>
      </c>
      <c r="G12" s="120">
        <v>3.096</v>
      </c>
      <c r="H12" s="120">
        <v>0.258</v>
      </c>
      <c r="I12" s="172">
        <v>0.1935</v>
      </c>
      <c r="J12" s="168">
        <f t="shared" si="0"/>
        <v>0</v>
      </c>
      <c r="K12" s="142">
        <f t="shared" si="1"/>
        <v>0</v>
      </c>
      <c r="L12" s="142">
        <f t="shared" si="2"/>
        <v>0</v>
      </c>
      <c r="M12" s="142">
        <f t="shared" si="3"/>
        <v>0</v>
      </c>
      <c r="N12" s="169">
        <f t="shared" si="4"/>
        <v>0</v>
      </c>
    </row>
    <row r="13" spans="2:14" ht="12.75">
      <c r="B13" s="65" t="s">
        <v>110</v>
      </c>
      <c r="C13" s="15">
        <v>0</v>
      </c>
      <c r="D13" s="208">
        <v>8</v>
      </c>
      <c r="E13" s="171">
        <v>1.595</v>
      </c>
      <c r="F13" s="120">
        <v>0.145</v>
      </c>
      <c r="G13" s="120">
        <v>3.48</v>
      </c>
      <c r="H13" s="120">
        <v>0.29</v>
      </c>
      <c r="I13" s="172">
        <v>0.2175</v>
      </c>
      <c r="J13" s="168">
        <f t="shared" si="0"/>
        <v>0</v>
      </c>
      <c r="K13" s="142">
        <f t="shared" si="1"/>
        <v>0</v>
      </c>
      <c r="L13" s="142">
        <f t="shared" si="2"/>
        <v>0</v>
      </c>
      <c r="M13" s="142">
        <f t="shared" si="3"/>
        <v>0</v>
      </c>
      <c r="N13" s="169">
        <f t="shared" si="4"/>
        <v>0</v>
      </c>
    </row>
    <row r="14" spans="2:14" ht="12.75">
      <c r="B14" s="65" t="s">
        <v>145</v>
      </c>
      <c r="C14" s="15">
        <v>12</v>
      </c>
      <c r="D14" s="208">
        <v>8</v>
      </c>
      <c r="E14" s="171">
        <v>0.3081</v>
      </c>
      <c r="F14" s="120">
        <v>0.0711</v>
      </c>
      <c r="G14" s="120">
        <v>0.7346999999999999</v>
      </c>
      <c r="H14" s="120">
        <v>0.0474</v>
      </c>
      <c r="I14" s="172">
        <v>0.03555</v>
      </c>
      <c r="J14" s="168">
        <f t="shared" si="0"/>
        <v>29.577599999999997</v>
      </c>
      <c r="K14" s="142">
        <f t="shared" si="1"/>
        <v>6.8256</v>
      </c>
      <c r="L14" s="142">
        <f t="shared" si="2"/>
        <v>70.53119999999998</v>
      </c>
      <c r="M14" s="142">
        <f t="shared" si="3"/>
        <v>4.5504</v>
      </c>
      <c r="N14" s="169">
        <f t="shared" si="4"/>
        <v>3.4128</v>
      </c>
    </row>
    <row r="15" spans="2:14" ht="12.75">
      <c r="B15" s="65" t="s">
        <v>62</v>
      </c>
      <c r="C15" s="15">
        <v>0</v>
      </c>
      <c r="D15" s="208">
        <v>8</v>
      </c>
      <c r="E15" s="171">
        <v>1.46475</v>
      </c>
      <c r="F15" s="120">
        <v>0.29295000000000004</v>
      </c>
      <c r="G15" s="120">
        <v>2.1483000000000003</v>
      </c>
      <c r="H15" s="120">
        <v>0.1953</v>
      </c>
      <c r="I15" s="172">
        <v>0.09765</v>
      </c>
      <c r="J15" s="168">
        <f t="shared" si="0"/>
        <v>0</v>
      </c>
      <c r="K15" s="142">
        <f t="shared" si="1"/>
        <v>0</v>
      </c>
      <c r="L15" s="142">
        <f t="shared" si="2"/>
        <v>0</v>
      </c>
      <c r="M15" s="142">
        <f t="shared" si="3"/>
        <v>0</v>
      </c>
      <c r="N15" s="169">
        <f t="shared" si="4"/>
        <v>0</v>
      </c>
    </row>
    <row r="16" spans="2:14" ht="12.75">
      <c r="B16" s="65" t="s">
        <v>213</v>
      </c>
      <c r="C16" s="15">
        <v>12</v>
      </c>
      <c r="D16" s="208">
        <v>8</v>
      </c>
      <c r="E16" s="171">
        <v>0.635</v>
      </c>
      <c r="F16" s="120">
        <v>0.176</v>
      </c>
      <c r="G16" s="120">
        <v>2.499</v>
      </c>
      <c r="H16" s="120">
        <v>0.002</v>
      </c>
      <c r="I16" s="172">
        <v>0.086</v>
      </c>
      <c r="J16" s="168">
        <f t="shared" si="0"/>
        <v>60.96</v>
      </c>
      <c r="K16" s="142">
        <f t="shared" si="1"/>
        <v>16.896</v>
      </c>
      <c r="L16" s="142">
        <f t="shared" si="2"/>
        <v>239.904</v>
      </c>
      <c r="M16" s="142">
        <f t="shared" si="3"/>
        <v>0.192</v>
      </c>
      <c r="N16" s="169">
        <f t="shared" si="4"/>
        <v>8.256</v>
      </c>
    </row>
    <row r="17" spans="2:14" ht="12.75">
      <c r="B17" s="65" t="s">
        <v>142</v>
      </c>
      <c r="C17" s="15">
        <v>11</v>
      </c>
      <c r="D17" s="208">
        <v>8</v>
      </c>
      <c r="E17" s="171">
        <v>0.42672499999999997</v>
      </c>
      <c r="F17" s="120">
        <v>0.09847500000000001</v>
      </c>
      <c r="G17" s="120">
        <v>1.0175750000000001</v>
      </c>
      <c r="H17" s="120">
        <v>0.06565</v>
      </c>
      <c r="I17" s="172">
        <v>0.06565</v>
      </c>
      <c r="J17" s="168">
        <f t="shared" si="0"/>
        <v>37.5518</v>
      </c>
      <c r="K17" s="142">
        <f t="shared" si="1"/>
        <v>8.6658</v>
      </c>
      <c r="L17" s="142">
        <f t="shared" si="2"/>
        <v>89.54660000000001</v>
      </c>
      <c r="M17" s="142">
        <f t="shared" si="3"/>
        <v>5.7772</v>
      </c>
      <c r="N17" s="169">
        <f t="shared" si="4"/>
        <v>5.7772</v>
      </c>
    </row>
    <row r="18" spans="2:14" ht="12.75">
      <c r="B18" s="65" t="s">
        <v>214</v>
      </c>
      <c r="C18" s="15">
        <v>4</v>
      </c>
      <c r="D18" s="208">
        <v>4</v>
      </c>
      <c r="E18" s="171">
        <v>1.8</v>
      </c>
      <c r="F18" s="120">
        <v>0.19</v>
      </c>
      <c r="G18" s="120">
        <v>4.17</v>
      </c>
      <c r="H18" s="120">
        <v>0.45</v>
      </c>
      <c r="I18" s="172">
        <v>0.26</v>
      </c>
      <c r="J18" s="168">
        <f t="shared" si="0"/>
        <v>28.8</v>
      </c>
      <c r="K18" s="142">
        <f t="shared" si="1"/>
        <v>3.04</v>
      </c>
      <c r="L18" s="142">
        <f t="shared" si="2"/>
        <v>66.72</v>
      </c>
      <c r="M18" s="142">
        <f t="shared" si="3"/>
        <v>7.2</v>
      </c>
      <c r="N18" s="169">
        <f t="shared" si="4"/>
        <v>4.16</v>
      </c>
    </row>
    <row r="19" spans="2:14" ht="12.75">
      <c r="B19" s="65" t="s">
        <v>136</v>
      </c>
      <c r="C19" s="15">
        <v>14</v>
      </c>
      <c r="D19" s="208">
        <v>12</v>
      </c>
      <c r="E19" s="171">
        <v>0.11725999999999999</v>
      </c>
      <c r="F19" s="120">
        <v>0.021320000000000002</v>
      </c>
      <c r="G19" s="120">
        <v>0.19187999999999997</v>
      </c>
      <c r="H19" s="120">
        <v>0.021320000000000002</v>
      </c>
      <c r="I19" s="172">
        <v>0.010660000000000001</v>
      </c>
      <c r="J19" s="168">
        <f t="shared" si="0"/>
        <v>19.69968</v>
      </c>
      <c r="K19" s="142">
        <f t="shared" si="1"/>
        <v>3.58176</v>
      </c>
      <c r="L19" s="142">
        <f t="shared" si="2"/>
        <v>32.235839999999996</v>
      </c>
      <c r="M19" s="142">
        <f t="shared" si="3"/>
        <v>3.58176</v>
      </c>
      <c r="N19" s="169">
        <f t="shared" si="4"/>
        <v>1.79088</v>
      </c>
    </row>
    <row r="20" spans="2:14" ht="12.75">
      <c r="B20" s="65" t="s">
        <v>137</v>
      </c>
      <c r="C20" s="15">
        <v>3</v>
      </c>
      <c r="D20" s="208">
        <v>8</v>
      </c>
      <c r="E20" s="171">
        <v>1.290375</v>
      </c>
      <c r="F20" s="120">
        <v>0.25807500000000005</v>
      </c>
      <c r="G20" s="120">
        <v>1.8925499999999997</v>
      </c>
      <c r="H20" s="120">
        <v>0.17205</v>
      </c>
      <c r="I20" s="172">
        <v>0.086025</v>
      </c>
      <c r="J20" s="168">
        <f t="shared" si="0"/>
        <v>30.969</v>
      </c>
      <c r="K20" s="142">
        <f t="shared" si="1"/>
        <v>6.193800000000001</v>
      </c>
      <c r="L20" s="142">
        <f t="shared" si="2"/>
        <v>45.42119999999999</v>
      </c>
      <c r="M20" s="142">
        <f t="shared" si="3"/>
        <v>4.1292</v>
      </c>
      <c r="N20" s="169">
        <f t="shared" si="4"/>
        <v>2.0646</v>
      </c>
    </row>
    <row r="21" spans="2:14" ht="12.75">
      <c r="B21" s="150" t="s">
        <v>143</v>
      </c>
      <c r="C21" s="15">
        <v>1</v>
      </c>
      <c r="D21" s="208">
        <v>8</v>
      </c>
      <c r="E21" s="171">
        <v>0.7866</v>
      </c>
      <c r="F21" s="120">
        <v>0.15732000000000002</v>
      </c>
      <c r="G21" s="120">
        <v>1.88784</v>
      </c>
      <c r="H21" s="120">
        <v>0.15732000000000002</v>
      </c>
      <c r="I21" s="172">
        <v>0.07866000000000001</v>
      </c>
      <c r="J21" s="168">
        <f t="shared" si="0"/>
        <v>6.2928</v>
      </c>
      <c r="K21" s="142">
        <f t="shared" si="1"/>
        <v>1.2585600000000001</v>
      </c>
      <c r="L21" s="142">
        <f t="shared" si="2"/>
        <v>15.10272</v>
      </c>
      <c r="M21" s="142">
        <f t="shared" si="3"/>
        <v>1.2585600000000001</v>
      </c>
      <c r="N21" s="169">
        <f t="shared" si="4"/>
        <v>0.6292800000000001</v>
      </c>
    </row>
    <row r="22" spans="2:14" ht="12.75" customHeight="1">
      <c r="B22" s="164" t="s">
        <v>138</v>
      </c>
      <c r="C22" s="15">
        <v>34</v>
      </c>
      <c r="D22" s="127">
        <v>8</v>
      </c>
      <c r="E22" s="171">
        <v>0.24254999999999996</v>
      </c>
      <c r="F22" s="120">
        <v>0.0441</v>
      </c>
      <c r="G22" s="120">
        <v>0.3969</v>
      </c>
      <c r="H22" s="120">
        <v>0.0441</v>
      </c>
      <c r="I22" s="172">
        <v>0.02205</v>
      </c>
      <c r="J22" s="165">
        <f t="shared" si="0"/>
        <v>65.97359999999999</v>
      </c>
      <c r="K22" s="20">
        <f t="shared" si="1"/>
        <v>11.9952</v>
      </c>
      <c r="L22" s="20">
        <f t="shared" si="2"/>
        <v>107.95679999999999</v>
      </c>
      <c r="M22" s="20">
        <f t="shared" si="3"/>
        <v>11.9952</v>
      </c>
      <c r="N22" s="166">
        <f t="shared" si="4"/>
        <v>5.9976</v>
      </c>
    </row>
    <row r="23" spans="2:14" ht="13.5" thickBot="1">
      <c r="B23" s="160" t="s">
        <v>63</v>
      </c>
      <c r="C23" s="161">
        <f>SUM(C6:C22)</f>
        <v>124</v>
      </c>
      <c r="D23" s="109"/>
      <c r="E23" s="213"/>
      <c r="F23" s="161"/>
      <c r="G23" s="161"/>
      <c r="H23" s="161"/>
      <c r="I23" s="89"/>
      <c r="J23" s="167">
        <f>SUM(J6:J22)</f>
        <v>530.57312</v>
      </c>
      <c r="K23" s="111">
        <f>SUM(K6:K22)</f>
        <v>140.15800000000002</v>
      </c>
      <c r="L23" s="162">
        <f>SUM(L6:L22)</f>
        <v>1296.8054000000002</v>
      </c>
      <c r="M23" s="111">
        <f>SUM(M6:M22)</f>
        <v>93.90447999999999</v>
      </c>
      <c r="N23" s="163">
        <f>SUM(N6:N22)</f>
        <v>72.939</v>
      </c>
    </row>
    <row r="24" spans="10:14" ht="12.75">
      <c r="J24" s="19"/>
      <c r="K24" s="19"/>
      <c r="L24" s="19"/>
      <c r="M24" s="19"/>
      <c r="N24" s="19"/>
    </row>
    <row r="25" ht="12.75">
      <c r="B25" s="10"/>
    </row>
    <row r="26" spans="2:5" ht="12.75">
      <c r="B26" s="10"/>
      <c r="E26" s="10"/>
    </row>
    <row r="27" spans="1:2" ht="12.75" customHeight="1">
      <c r="A27" s="258" t="s">
        <v>194</v>
      </c>
      <c r="B27" s="10"/>
    </row>
    <row r="28" spans="1:6" ht="12.75">
      <c r="A28" s="258"/>
      <c r="B28" s="10"/>
      <c r="C28" s="113"/>
      <c r="D28" s="10"/>
      <c r="E28" s="10"/>
      <c r="F28" s="68"/>
    </row>
    <row r="29" ht="12.75">
      <c r="A29" s="258"/>
    </row>
    <row r="30" ht="12.75">
      <c r="N30" s="53"/>
    </row>
    <row r="31" ht="12.75">
      <c r="B31" s="10"/>
    </row>
  </sheetData>
  <sheetProtection/>
  <mergeCells count="3">
    <mergeCell ref="J4:N4"/>
    <mergeCell ref="A27:A29"/>
    <mergeCell ref="A2:N2"/>
  </mergeCells>
  <conditionalFormatting sqref="M24:N24 J24">
    <cfRule type="cellIs" priority="1" dxfId="0" operator="greaterThanOrEqual" stopIfTrue="1">
      <formula>$J$25</formula>
    </cfRule>
  </conditionalFormatting>
  <conditionalFormatting sqref="L24">
    <cfRule type="cellIs" priority="2" dxfId="0" operator="greaterThanOrEqual" stopIfTrue="1">
      <formula>$L$25</formula>
    </cfRule>
  </conditionalFormatting>
  <conditionalFormatting sqref="K24">
    <cfRule type="cellIs" priority="3" dxfId="0" operator="greaterThanOrEqual" stopIfTrue="1">
      <formula>$K$25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&amp;C&amp;"Arial,Bold"&amp;16Table C-5
Construction Equipment Emissions&amp;12
</oddHeader>
    <oddFooter>&amp;L&amp;8M:\MC\2393 BP\EIR\&amp;F:&amp;A&amp;R&amp;8&amp;D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2:N31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2" max="2" width="36.7109375" style="0" customWidth="1"/>
    <col min="3" max="3" width="9.7109375" style="112" customWidth="1"/>
    <col min="7" max="7" width="9.00390625" style="0" customWidth="1"/>
  </cols>
  <sheetData>
    <row r="1" ht="12" customHeight="1"/>
    <row r="2" spans="1:14" ht="15.75" customHeight="1">
      <c r="A2" s="254" t="s">
        <v>146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ht="13.5" thickBot="1"/>
    <row r="4" spans="2:14" ht="12.75">
      <c r="B4" s="153" t="s">
        <v>57</v>
      </c>
      <c r="C4" s="154"/>
      <c r="D4" s="212" t="s">
        <v>58</v>
      </c>
      <c r="E4" s="209"/>
      <c r="F4" s="157" t="s">
        <v>59</v>
      </c>
      <c r="G4" s="157"/>
      <c r="H4" s="26"/>
      <c r="I4" s="210"/>
      <c r="J4" s="259" t="s">
        <v>60</v>
      </c>
      <c r="K4" s="260"/>
      <c r="L4" s="260"/>
      <c r="M4" s="260"/>
      <c r="N4" s="261"/>
    </row>
    <row r="5" spans="2:14" ht="13.5" thickBot="1">
      <c r="B5" s="158" t="s">
        <v>5</v>
      </c>
      <c r="C5" s="69" t="s">
        <v>38</v>
      </c>
      <c r="D5" s="207" t="s">
        <v>61</v>
      </c>
      <c r="E5" s="170" t="s">
        <v>0</v>
      </c>
      <c r="F5" s="64" t="s">
        <v>1</v>
      </c>
      <c r="G5" s="64" t="s">
        <v>2</v>
      </c>
      <c r="H5" s="64" t="s">
        <v>6</v>
      </c>
      <c r="I5" s="177" t="s">
        <v>3</v>
      </c>
      <c r="J5" s="170" t="s">
        <v>0</v>
      </c>
      <c r="K5" s="64" t="s">
        <v>1</v>
      </c>
      <c r="L5" s="64" t="s">
        <v>2</v>
      </c>
      <c r="M5" s="64" t="s">
        <v>6</v>
      </c>
      <c r="N5" s="159" t="s">
        <v>3</v>
      </c>
    </row>
    <row r="6" spans="2:14" ht="13.5" thickTop="1">
      <c r="B6" s="65" t="s">
        <v>133</v>
      </c>
      <c r="C6" s="15">
        <v>1</v>
      </c>
      <c r="D6" s="208">
        <v>8</v>
      </c>
      <c r="E6" s="175">
        <v>0.523125</v>
      </c>
      <c r="F6" s="121">
        <v>0.10462500000000001</v>
      </c>
      <c r="G6" s="121">
        <v>0.76725</v>
      </c>
      <c r="H6" s="121">
        <v>0.06975</v>
      </c>
      <c r="I6" s="176">
        <v>0.034875</v>
      </c>
      <c r="J6" s="168">
        <f aca="true" t="shared" si="0" ref="J6:J22">E6*$D6*$C6</f>
        <v>4.185</v>
      </c>
      <c r="K6" s="142">
        <f aca="true" t="shared" si="1" ref="K6:K22">F6*$D6*$C6</f>
        <v>0.8370000000000001</v>
      </c>
      <c r="L6" s="142">
        <f aca="true" t="shared" si="2" ref="L6:L22">G6*$D6*$C6</f>
        <v>6.138</v>
      </c>
      <c r="M6" s="142">
        <f aca="true" t="shared" si="3" ref="M6:M22">H6*$D6*$C6</f>
        <v>0.558</v>
      </c>
      <c r="N6" s="169">
        <f aca="true" t="shared" si="4" ref="N6:N22">I6*$D6*$C6</f>
        <v>0.279</v>
      </c>
    </row>
    <row r="7" spans="2:14" ht="12.75">
      <c r="B7" s="65" t="s">
        <v>134</v>
      </c>
      <c r="C7" s="15">
        <v>0</v>
      </c>
      <c r="D7" s="208">
        <v>8</v>
      </c>
      <c r="E7" s="171">
        <v>0.523125</v>
      </c>
      <c r="F7" s="120">
        <v>0.10462500000000001</v>
      </c>
      <c r="G7" s="120">
        <v>0.76725</v>
      </c>
      <c r="H7" s="120">
        <v>0.06975</v>
      </c>
      <c r="I7" s="172">
        <v>0.034875</v>
      </c>
      <c r="J7" s="168">
        <f t="shared" si="0"/>
        <v>0</v>
      </c>
      <c r="K7" s="142">
        <f t="shared" si="1"/>
        <v>0</v>
      </c>
      <c r="L7" s="142">
        <f t="shared" si="2"/>
        <v>0</v>
      </c>
      <c r="M7" s="142">
        <f t="shared" si="3"/>
        <v>0</v>
      </c>
      <c r="N7" s="169">
        <f t="shared" si="4"/>
        <v>0</v>
      </c>
    </row>
    <row r="8" spans="2:14" ht="12.75">
      <c r="B8" s="65" t="s">
        <v>140</v>
      </c>
      <c r="C8" s="15">
        <v>6</v>
      </c>
      <c r="D8" s="208">
        <v>8</v>
      </c>
      <c r="E8" s="171">
        <v>0.25871999999999995</v>
      </c>
      <c r="F8" s="120">
        <v>0.04704</v>
      </c>
      <c r="G8" s="120">
        <v>0.42335999999999996</v>
      </c>
      <c r="H8" s="120">
        <v>0.04704</v>
      </c>
      <c r="I8" s="172">
        <v>0.02352</v>
      </c>
      <c r="J8" s="168">
        <f t="shared" si="0"/>
        <v>12.418559999999998</v>
      </c>
      <c r="K8" s="142">
        <f t="shared" si="1"/>
        <v>2.25792</v>
      </c>
      <c r="L8" s="142">
        <f t="shared" si="2"/>
        <v>20.321279999999998</v>
      </c>
      <c r="M8" s="142">
        <f t="shared" si="3"/>
        <v>2.25792</v>
      </c>
      <c r="N8" s="169">
        <f t="shared" si="4"/>
        <v>1.12896</v>
      </c>
    </row>
    <row r="9" spans="2:14" ht="12.75">
      <c r="B9" s="65" t="s">
        <v>141</v>
      </c>
      <c r="C9" s="15">
        <v>0</v>
      </c>
      <c r="D9" s="208">
        <v>8</v>
      </c>
      <c r="E9" s="171">
        <v>0.030420000000000003</v>
      </c>
      <c r="F9" s="120">
        <v>0.43601999999999996</v>
      </c>
      <c r="G9" s="120">
        <v>0.040560000000000006</v>
      </c>
      <c r="H9" s="120">
        <v>0.005070000000000001</v>
      </c>
      <c r="I9" s="172">
        <v>0.0025350000000000004</v>
      </c>
      <c r="J9" s="168">
        <f t="shared" si="0"/>
        <v>0</v>
      </c>
      <c r="K9" s="142">
        <f t="shared" si="1"/>
        <v>0</v>
      </c>
      <c r="L9" s="142">
        <f t="shared" si="2"/>
        <v>0</v>
      </c>
      <c r="M9" s="142">
        <f t="shared" si="3"/>
        <v>0</v>
      </c>
      <c r="N9" s="169">
        <f t="shared" si="4"/>
        <v>0</v>
      </c>
    </row>
    <row r="10" spans="2:14" ht="12.75">
      <c r="B10" s="65" t="s">
        <v>139</v>
      </c>
      <c r="C10" s="15">
        <v>21</v>
      </c>
      <c r="D10" s="208">
        <v>8</v>
      </c>
      <c r="E10" s="171">
        <v>0.9675</v>
      </c>
      <c r="F10" s="120">
        <v>0.3225</v>
      </c>
      <c r="G10" s="120">
        <v>2.4725</v>
      </c>
      <c r="H10" s="120">
        <v>0.215</v>
      </c>
      <c r="I10" s="172">
        <v>0.16125</v>
      </c>
      <c r="J10" s="168">
        <f t="shared" si="0"/>
        <v>162.54</v>
      </c>
      <c r="K10" s="142">
        <f t="shared" si="1"/>
        <v>54.18</v>
      </c>
      <c r="L10" s="142">
        <f t="shared" si="2"/>
        <v>415.38</v>
      </c>
      <c r="M10" s="142">
        <f t="shared" si="3"/>
        <v>36.12</v>
      </c>
      <c r="N10" s="169">
        <f t="shared" si="4"/>
        <v>27.09</v>
      </c>
    </row>
    <row r="11" spans="2:14" ht="12.75">
      <c r="B11" s="65" t="s">
        <v>144</v>
      </c>
      <c r="C11" s="15">
        <v>6</v>
      </c>
      <c r="D11" s="208">
        <v>8</v>
      </c>
      <c r="E11" s="171">
        <v>1.57896</v>
      </c>
      <c r="F11" s="120">
        <v>0.52632</v>
      </c>
      <c r="G11" s="120">
        <v>4.03512</v>
      </c>
      <c r="H11" s="120">
        <v>0.35088</v>
      </c>
      <c r="I11" s="172">
        <v>0.26316</v>
      </c>
      <c r="J11" s="168">
        <f t="shared" si="0"/>
        <v>75.79007999999999</v>
      </c>
      <c r="K11" s="142">
        <f t="shared" si="1"/>
        <v>25.26336</v>
      </c>
      <c r="L11" s="142">
        <f t="shared" si="2"/>
        <v>193.68576000000002</v>
      </c>
      <c r="M11" s="142">
        <f t="shared" si="3"/>
        <v>16.84224</v>
      </c>
      <c r="N11" s="169">
        <f t="shared" si="4"/>
        <v>12.63168</v>
      </c>
    </row>
    <row r="12" spans="2:14" ht="12.75">
      <c r="B12" s="65" t="s">
        <v>135</v>
      </c>
      <c r="C12" s="15">
        <v>0</v>
      </c>
      <c r="D12" s="208">
        <v>8</v>
      </c>
      <c r="E12" s="171">
        <v>2.58</v>
      </c>
      <c r="F12" s="120">
        <v>0.387</v>
      </c>
      <c r="G12" s="120">
        <v>3.096</v>
      </c>
      <c r="H12" s="120">
        <v>0.258</v>
      </c>
      <c r="I12" s="172">
        <v>0.1935</v>
      </c>
      <c r="J12" s="168">
        <f t="shared" si="0"/>
        <v>0</v>
      </c>
      <c r="K12" s="142">
        <f t="shared" si="1"/>
        <v>0</v>
      </c>
      <c r="L12" s="142">
        <f t="shared" si="2"/>
        <v>0</v>
      </c>
      <c r="M12" s="142">
        <f t="shared" si="3"/>
        <v>0</v>
      </c>
      <c r="N12" s="169">
        <f t="shared" si="4"/>
        <v>0</v>
      </c>
    </row>
    <row r="13" spans="2:14" ht="12.75">
      <c r="B13" s="65" t="s">
        <v>110</v>
      </c>
      <c r="C13" s="15">
        <v>0</v>
      </c>
      <c r="D13" s="208">
        <v>8</v>
      </c>
      <c r="E13" s="171">
        <v>1.595</v>
      </c>
      <c r="F13" s="120">
        <v>0.145</v>
      </c>
      <c r="G13" s="120">
        <v>3.48</v>
      </c>
      <c r="H13" s="120">
        <v>0.29</v>
      </c>
      <c r="I13" s="172">
        <v>0.2175</v>
      </c>
      <c r="J13" s="168">
        <f t="shared" si="0"/>
        <v>0</v>
      </c>
      <c r="K13" s="142">
        <f t="shared" si="1"/>
        <v>0</v>
      </c>
      <c r="L13" s="142">
        <f t="shared" si="2"/>
        <v>0</v>
      </c>
      <c r="M13" s="142">
        <f t="shared" si="3"/>
        <v>0</v>
      </c>
      <c r="N13" s="169">
        <f t="shared" si="4"/>
        <v>0</v>
      </c>
    </row>
    <row r="14" spans="2:14" ht="12.75">
      <c r="B14" s="65" t="s">
        <v>145</v>
      </c>
      <c r="C14" s="15">
        <v>12</v>
      </c>
      <c r="D14" s="208">
        <v>8</v>
      </c>
      <c r="E14" s="171">
        <v>0.3081</v>
      </c>
      <c r="F14" s="120">
        <v>0.0711</v>
      </c>
      <c r="G14" s="120">
        <v>0.7346999999999999</v>
      </c>
      <c r="H14" s="120">
        <v>0.0474</v>
      </c>
      <c r="I14" s="172">
        <v>0.03555</v>
      </c>
      <c r="J14" s="168">
        <f t="shared" si="0"/>
        <v>29.577599999999997</v>
      </c>
      <c r="K14" s="142">
        <f t="shared" si="1"/>
        <v>6.8256</v>
      </c>
      <c r="L14" s="142">
        <f t="shared" si="2"/>
        <v>70.53119999999998</v>
      </c>
      <c r="M14" s="142">
        <f t="shared" si="3"/>
        <v>4.5504</v>
      </c>
      <c r="N14" s="169">
        <f t="shared" si="4"/>
        <v>3.4128</v>
      </c>
    </row>
    <row r="15" spans="2:14" ht="12.75">
      <c r="B15" s="65" t="s">
        <v>62</v>
      </c>
      <c r="C15" s="15">
        <v>0</v>
      </c>
      <c r="D15" s="208">
        <v>8</v>
      </c>
      <c r="E15" s="171">
        <v>1.46475</v>
      </c>
      <c r="F15" s="120">
        <v>0.29295000000000004</v>
      </c>
      <c r="G15" s="120">
        <v>2.1483000000000003</v>
      </c>
      <c r="H15" s="120">
        <v>0.1953</v>
      </c>
      <c r="I15" s="172">
        <v>0.09765</v>
      </c>
      <c r="J15" s="168">
        <f t="shared" si="0"/>
        <v>0</v>
      </c>
      <c r="K15" s="142">
        <f t="shared" si="1"/>
        <v>0</v>
      </c>
      <c r="L15" s="142">
        <f t="shared" si="2"/>
        <v>0</v>
      </c>
      <c r="M15" s="142">
        <f t="shared" si="3"/>
        <v>0</v>
      </c>
      <c r="N15" s="169">
        <f t="shared" si="4"/>
        <v>0</v>
      </c>
    </row>
    <row r="16" spans="2:14" ht="12.75">
      <c r="B16" s="65" t="s">
        <v>213</v>
      </c>
      <c r="C16" s="15">
        <v>12</v>
      </c>
      <c r="D16" s="208">
        <v>8</v>
      </c>
      <c r="E16" s="171">
        <v>0.635</v>
      </c>
      <c r="F16" s="120">
        <v>0.176</v>
      </c>
      <c r="G16" s="120">
        <v>2.499</v>
      </c>
      <c r="H16" s="120">
        <v>0.002</v>
      </c>
      <c r="I16" s="172">
        <v>0.086</v>
      </c>
      <c r="J16" s="168">
        <f t="shared" si="0"/>
        <v>60.96</v>
      </c>
      <c r="K16" s="142">
        <f t="shared" si="1"/>
        <v>16.896</v>
      </c>
      <c r="L16" s="142">
        <f t="shared" si="2"/>
        <v>239.904</v>
      </c>
      <c r="M16" s="142">
        <f t="shared" si="3"/>
        <v>0.192</v>
      </c>
      <c r="N16" s="169">
        <f t="shared" si="4"/>
        <v>8.256</v>
      </c>
    </row>
    <row r="17" spans="2:14" ht="12.75">
      <c r="B17" s="65" t="s">
        <v>142</v>
      </c>
      <c r="C17" s="15">
        <v>11</v>
      </c>
      <c r="D17" s="208">
        <v>8</v>
      </c>
      <c r="E17" s="171">
        <v>0.42672499999999997</v>
      </c>
      <c r="F17" s="120">
        <v>0.09847500000000001</v>
      </c>
      <c r="G17" s="120">
        <v>1.0175750000000001</v>
      </c>
      <c r="H17" s="120">
        <v>0.06565</v>
      </c>
      <c r="I17" s="172">
        <v>0.06565</v>
      </c>
      <c r="J17" s="168">
        <f t="shared" si="0"/>
        <v>37.5518</v>
      </c>
      <c r="K17" s="142">
        <f t="shared" si="1"/>
        <v>8.6658</v>
      </c>
      <c r="L17" s="142">
        <f t="shared" si="2"/>
        <v>89.54660000000001</v>
      </c>
      <c r="M17" s="142">
        <f t="shared" si="3"/>
        <v>5.7772</v>
      </c>
      <c r="N17" s="169">
        <f t="shared" si="4"/>
        <v>5.7772</v>
      </c>
    </row>
    <row r="18" spans="2:14" ht="12.75">
      <c r="B18" s="65" t="s">
        <v>214</v>
      </c>
      <c r="C18" s="15">
        <v>4</v>
      </c>
      <c r="D18" s="208">
        <v>4</v>
      </c>
      <c r="E18" s="171">
        <v>1.8</v>
      </c>
      <c r="F18" s="120">
        <v>0.19</v>
      </c>
      <c r="G18" s="120">
        <v>4.17</v>
      </c>
      <c r="H18" s="120">
        <v>0.45</v>
      </c>
      <c r="I18" s="172">
        <v>0.26</v>
      </c>
      <c r="J18" s="168">
        <f t="shared" si="0"/>
        <v>28.8</v>
      </c>
      <c r="K18" s="142">
        <f t="shared" si="1"/>
        <v>3.04</v>
      </c>
      <c r="L18" s="142">
        <f t="shared" si="2"/>
        <v>66.72</v>
      </c>
      <c r="M18" s="142">
        <f t="shared" si="3"/>
        <v>7.2</v>
      </c>
      <c r="N18" s="169">
        <f t="shared" si="4"/>
        <v>4.16</v>
      </c>
    </row>
    <row r="19" spans="2:14" ht="12.75">
      <c r="B19" s="65" t="s">
        <v>136</v>
      </c>
      <c r="C19" s="15">
        <v>14</v>
      </c>
      <c r="D19" s="208">
        <v>12</v>
      </c>
      <c r="E19" s="171">
        <v>0.11725999999999999</v>
      </c>
      <c r="F19" s="120">
        <v>0.021320000000000002</v>
      </c>
      <c r="G19" s="120">
        <v>0.19187999999999997</v>
      </c>
      <c r="H19" s="120">
        <v>0.021320000000000002</v>
      </c>
      <c r="I19" s="172">
        <v>0.010660000000000001</v>
      </c>
      <c r="J19" s="168">
        <f t="shared" si="0"/>
        <v>19.69968</v>
      </c>
      <c r="K19" s="142">
        <f t="shared" si="1"/>
        <v>3.58176</v>
      </c>
      <c r="L19" s="142">
        <f t="shared" si="2"/>
        <v>32.235839999999996</v>
      </c>
      <c r="M19" s="142">
        <f t="shared" si="3"/>
        <v>3.58176</v>
      </c>
      <c r="N19" s="169">
        <f t="shared" si="4"/>
        <v>1.79088</v>
      </c>
    </row>
    <row r="20" spans="2:14" ht="12.75">
      <c r="B20" s="65" t="s">
        <v>137</v>
      </c>
      <c r="C20" s="15">
        <v>3</v>
      </c>
      <c r="D20" s="208">
        <v>8</v>
      </c>
      <c r="E20" s="171">
        <v>1.290375</v>
      </c>
      <c r="F20" s="120">
        <v>0.25807500000000005</v>
      </c>
      <c r="G20" s="120">
        <v>1.8925499999999997</v>
      </c>
      <c r="H20" s="120">
        <v>0.17205</v>
      </c>
      <c r="I20" s="172">
        <v>0.086025</v>
      </c>
      <c r="J20" s="168">
        <f t="shared" si="0"/>
        <v>30.969</v>
      </c>
      <c r="K20" s="142">
        <f t="shared" si="1"/>
        <v>6.193800000000001</v>
      </c>
      <c r="L20" s="142">
        <f t="shared" si="2"/>
        <v>45.42119999999999</v>
      </c>
      <c r="M20" s="142">
        <f t="shared" si="3"/>
        <v>4.1292</v>
      </c>
      <c r="N20" s="169">
        <f t="shared" si="4"/>
        <v>2.0646</v>
      </c>
    </row>
    <row r="21" spans="2:14" ht="12.75">
      <c r="B21" s="150" t="s">
        <v>143</v>
      </c>
      <c r="C21" s="15">
        <v>1</v>
      </c>
      <c r="D21" s="208">
        <v>8</v>
      </c>
      <c r="E21" s="171">
        <v>0.7866</v>
      </c>
      <c r="F21" s="120">
        <v>0.15732000000000002</v>
      </c>
      <c r="G21" s="120">
        <v>1.88784</v>
      </c>
      <c r="H21" s="120">
        <v>0.15732000000000002</v>
      </c>
      <c r="I21" s="172">
        <v>0.07866000000000001</v>
      </c>
      <c r="J21" s="168">
        <f t="shared" si="0"/>
        <v>6.2928</v>
      </c>
      <c r="K21" s="142">
        <f t="shared" si="1"/>
        <v>1.2585600000000001</v>
      </c>
      <c r="L21" s="142">
        <f t="shared" si="2"/>
        <v>15.10272</v>
      </c>
      <c r="M21" s="142">
        <f t="shared" si="3"/>
        <v>1.2585600000000001</v>
      </c>
      <c r="N21" s="169">
        <f t="shared" si="4"/>
        <v>0.6292800000000001</v>
      </c>
    </row>
    <row r="22" spans="2:14" ht="12.75" customHeight="1">
      <c r="B22" s="164" t="s">
        <v>138</v>
      </c>
      <c r="C22" s="15">
        <v>34</v>
      </c>
      <c r="D22" s="127">
        <v>8</v>
      </c>
      <c r="E22" s="171">
        <v>0.24254999999999996</v>
      </c>
      <c r="F22" s="120">
        <v>0.0441</v>
      </c>
      <c r="G22" s="120">
        <v>0.3969</v>
      </c>
      <c r="H22" s="120">
        <v>0.0441</v>
      </c>
      <c r="I22" s="172">
        <v>0.02205</v>
      </c>
      <c r="J22" s="165">
        <f t="shared" si="0"/>
        <v>65.97359999999999</v>
      </c>
      <c r="K22" s="20">
        <f t="shared" si="1"/>
        <v>11.9952</v>
      </c>
      <c r="L22" s="20">
        <f t="shared" si="2"/>
        <v>107.95679999999999</v>
      </c>
      <c r="M22" s="20">
        <f t="shared" si="3"/>
        <v>11.9952</v>
      </c>
      <c r="N22" s="166">
        <f t="shared" si="4"/>
        <v>5.9976</v>
      </c>
    </row>
    <row r="23" spans="2:14" ht="13.5" thickBot="1">
      <c r="B23" s="160" t="s">
        <v>63</v>
      </c>
      <c r="C23" s="161">
        <f>SUM(C6:C22)</f>
        <v>125</v>
      </c>
      <c r="D23" s="109"/>
      <c r="E23" s="213"/>
      <c r="F23" s="161"/>
      <c r="G23" s="161"/>
      <c r="H23" s="161"/>
      <c r="I23" s="89"/>
      <c r="J23" s="167">
        <f>SUM(J6:J22)</f>
        <v>534.75812</v>
      </c>
      <c r="K23" s="111">
        <f>SUM(K6:K22)</f>
        <v>140.995</v>
      </c>
      <c r="L23" s="162">
        <f>SUM(L6:L22)</f>
        <v>1302.9434</v>
      </c>
      <c r="M23" s="111">
        <f>SUM(M6:M22)</f>
        <v>94.46248</v>
      </c>
      <c r="N23" s="163">
        <f>SUM(N6:N22)</f>
        <v>73.21799999999999</v>
      </c>
    </row>
    <row r="24" spans="10:14" ht="12.75">
      <c r="J24" s="19"/>
      <c r="K24" s="19"/>
      <c r="L24" s="19"/>
      <c r="M24" s="19"/>
      <c r="N24" s="19"/>
    </row>
    <row r="25" ht="12.75">
      <c r="B25" s="10"/>
    </row>
    <row r="26" spans="2:5" ht="12.75">
      <c r="B26" s="10"/>
      <c r="E26" s="10"/>
    </row>
    <row r="27" spans="1:2" ht="12.75">
      <c r="A27" s="258" t="s">
        <v>195</v>
      </c>
      <c r="B27" s="10"/>
    </row>
    <row r="28" spans="1:6" ht="12.75">
      <c r="A28" s="258"/>
      <c r="B28" s="10"/>
      <c r="C28" s="113"/>
      <c r="D28" s="10"/>
      <c r="E28" s="10"/>
      <c r="F28" s="68"/>
    </row>
    <row r="29" ht="12.75">
      <c r="A29" s="258"/>
    </row>
    <row r="30" ht="12.75">
      <c r="N30" s="53"/>
    </row>
    <row r="31" ht="12.75">
      <c r="B31" s="10"/>
    </row>
  </sheetData>
  <sheetProtection/>
  <mergeCells count="3">
    <mergeCell ref="J4:N4"/>
    <mergeCell ref="A27:A29"/>
    <mergeCell ref="A2:N2"/>
  </mergeCells>
  <conditionalFormatting sqref="M24:N24 J24">
    <cfRule type="cellIs" priority="1" dxfId="0" operator="greaterThanOrEqual" stopIfTrue="1">
      <formula>$J$25</formula>
    </cfRule>
  </conditionalFormatting>
  <conditionalFormatting sqref="L24">
    <cfRule type="cellIs" priority="2" dxfId="0" operator="greaterThanOrEqual" stopIfTrue="1">
      <formula>$L$25</formula>
    </cfRule>
  </conditionalFormatting>
  <conditionalFormatting sqref="K24">
    <cfRule type="cellIs" priority="3" dxfId="0" operator="greaterThanOrEqual" stopIfTrue="1">
      <formula>$K$25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&amp;C&amp;"Arial,Bold"&amp;16Table C-6
Construction Equipment Emissions&amp;12
</oddHeader>
    <oddFooter>&amp;L&amp;8M:\MC\2393 BP\EIR\&amp;F:&amp;A&amp;R&amp;8&amp;D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N37"/>
  <sheetViews>
    <sheetView zoomScale="80" zoomScaleNormal="80" zoomScalePageLayoutView="0" workbookViewId="0" topLeftCell="A1">
      <selection activeCell="A15" sqref="A15:A16"/>
    </sheetView>
  </sheetViews>
  <sheetFormatPr defaultColWidth="9.140625" defaultRowHeight="12.75"/>
  <cols>
    <col min="2" max="2" width="19.28125" style="0" customWidth="1"/>
    <col min="3" max="3" width="10.421875" style="0" customWidth="1"/>
    <col min="4" max="4" width="9.57421875" style="0" customWidth="1"/>
    <col min="5" max="5" width="9.7109375" style="0" customWidth="1"/>
    <col min="6" max="7" width="9.57421875" style="0" customWidth="1"/>
    <col min="8" max="8" width="9.7109375" style="0" customWidth="1"/>
    <col min="9" max="9" width="9.57421875" style="0" customWidth="1"/>
    <col min="10" max="12" width="9.7109375" style="0" customWidth="1"/>
    <col min="13" max="13" width="17.8515625" style="0" customWidth="1"/>
  </cols>
  <sheetData>
    <row r="1" spans="2:12" s="16" customFormat="1" ht="13.5" thickBot="1">
      <c r="B1" s="296" t="s">
        <v>172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2:12" ht="30" customHeight="1" thickBot="1">
      <c r="B2" s="128" t="s">
        <v>49</v>
      </c>
      <c r="C2" s="278" t="s">
        <v>96</v>
      </c>
      <c r="D2" s="279"/>
      <c r="E2" s="278" t="s">
        <v>97</v>
      </c>
      <c r="F2" s="283"/>
      <c r="G2" s="278" t="s">
        <v>98</v>
      </c>
      <c r="H2" s="279"/>
      <c r="I2" s="278" t="s">
        <v>99</v>
      </c>
      <c r="J2" s="283"/>
      <c r="K2" s="278" t="s">
        <v>100</v>
      </c>
      <c r="L2" s="279"/>
    </row>
    <row r="3" spans="2:12" ht="26.25">
      <c r="B3" s="224" t="s">
        <v>50</v>
      </c>
      <c r="C3" s="281">
        <v>0.013925</v>
      </c>
      <c r="D3" s="282"/>
      <c r="E3" s="282">
        <v>0.001497</v>
      </c>
      <c r="F3" s="282"/>
      <c r="G3" s="282">
        <v>0.001489</v>
      </c>
      <c r="H3" s="282"/>
      <c r="I3" s="282">
        <v>9E-06</v>
      </c>
      <c r="J3" s="282"/>
      <c r="K3" s="282">
        <v>8E-05</v>
      </c>
      <c r="L3" s="284"/>
    </row>
    <row r="4" spans="2:12" ht="12.75">
      <c r="B4" s="225" t="s">
        <v>156</v>
      </c>
      <c r="C4" s="269">
        <v>0.013925</v>
      </c>
      <c r="D4" s="268"/>
      <c r="E4" s="268">
        <v>0.001497</v>
      </c>
      <c r="F4" s="268"/>
      <c r="G4" s="268">
        <v>0.001489</v>
      </c>
      <c r="H4" s="268"/>
      <c r="I4" s="268">
        <v>9E-06</v>
      </c>
      <c r="J4" s="268"/>
      <c r="K4" s="268">
        <v>8E-05</v>
      </c>
      <c r="L4" s="280"/>
    </row>
    <row r="5" spans="2:12" ht="12.75">
      <c r="B5" s="225" t="s">
        <v>107</v>
      </c>
      <c r="C5" s="269">
        <v>0.019135</v>
      </c>
      <c r="D5" s="268"/>
      <c r="E5" s="268">
        <v>0.002779</v>
      </c>
      <c r="F5" s="268"/>
      <c r="G5" s="268">
        <v>0.026756</v>
      </c>
      <c r="H5" s="268"/>
      <c r="I5" s="268">
        <v>0.000248</v>
      </c>
      <c r="J5" s="268"/>
      <c r="K5" s="268">
        <v>0.00048308252659829385</v>
      </c>
      <c r="L5" s="280"/>
    </row>
    <row r="6" spans="2:12" ht="12.75">
      <c r="B6" s="225" t="s">
        <v>95</v>
      </c>
      <c r="C6" s="269">
        <v>0.019135</v>
      </c>
      <c r="D6" s="268"/>
      <c r="E6" s="268">
        <v>0.002779</v>
      </c>
      <c r="F6" s="268"/>
      <c r="G6" s="268">
        <v>0.026756</v>
      </c>
      <c r="H6" s="268"/>
      <c r="I6" s="268">
        <v>0.000248</v>
      </c>
      <c r="J6" s="268"/>
      <c r="K6" s="268">
        <v>0.00048308252659829385</v>
      </c>
      <c r="L6" s="280"/>
    </row>
    <row r="7" spans="2:12" ht="12.75">
      <c r="B7" s="225" t="s">
        <v>155</v>
      </c>
      <c r="C7" s="269">
        <v>0.019135</v>
      </c>
      <c r="D7" s="268"/>
      <c r="E7" s="268">
        <v>0.002779</v>
      </c>
      <c r="F7" s="268"/>
      <c r="G7" s="268">
        <v>0.026756</v>
      </c>
      <c r="H7" s="268"/>
      <c r="I7" s="268">
        <v>0.000248</v>
      </c>
      <c r="J7" s="268"/>
      <c r="K7" s="268">
        <v>0.00048308252659829385</v>
      </c>
      <c r="L7" s="280"/>
    </row>
    <row r="8" spans="2:12" ht="12.75">
      <c r="B8" s="225" t="s">
        <v>154</v>
      </c>
      <c r="C8" s="269">
        <v>0.019135</v>
      </c>
      <c r="D8" s="268"/>
      <c r="E8" s="268">
        <v>0.002779</v>
      </c>
      <c r="F8" s="268"/>
      <c r="G8" s="268">
        <v>0.026756</v>
      </c>
      <c r="H8" s="268"/>
      <c r="I8" s="268">
        <v>0.000248</v>
      </c>
      <c r="J8" s="268"/>
      <c r="K8" s="268">
        <v>0.00048308252659829385</v>
      </c>
      <c r="L8" s="280"/>
    </row>
    <row r="9" spans="2:12" ht="13.5" thickBot="1">
      <c r="B9" s="226" t="s">
        <v>129</v>
      </c>
      <c r="C9" s="272">
        <v>0.019135</v>
      </c>
      <c r="D9" s="273"/>
      <c r="E9" s="273">
        <v>0.002779</v>
      </c>
      <c r="F9" s="273"/>
      <c r="G9" s="273">
        <v>0.026756</v>
      </c>
      <c r="H9" s="273"/>
      <c r="I9" s="273">
        <v>0.000248</v>
      </c>
      <c r="J9" s="273"/>
      <c r="K9" s="273">
        <v>0.00048308252659829385</v>
      </c>
      <c r="L9" s="277"/>
    </row>
    <row r="10" ht="13.5" thickBot="1"/>
    <row r="11" spans="2:13" ht="13.5" thickBot="1">
      <c r="B11" s="59"/>
      <c r="C11" s="274" t="s">
        <v>51</v>
      </c>
      <c r="D11" s="275"/>
      <c r="E11" s="275"/>
      <c r="F11" s="276"/>
      <c r="G11" s="274" t="s">
        <v>52</v>
      </c>
      <c r="H11" s="275"/>
      <c r="I11" s="275"/>
      <c r="J11" s="275"/>
      <c r="K11" s="276"/>
      <c r="L11" s="22"/>
      <c r="M11" s="22"/>
    </row>
    <row r="12" spans="2:14" ht="39.75" thickBot="1">
      <c r="B12" s="44" t="s">
        <v>53</v>
      </c>
      <c r="C12" s="118" t="s">
        <v>160</v>
      </c>
      <c r="D12" s="124" t="s">
        <v>159</v>
      </c>
      <c r="E12" s="186" t="s">
        <v>157</v>
      </c>
      <c r="F12" s="117" t="s">
        <v>158</v>
      </c>
      <c r="G12" s="95" t="s">
        <v>101</v>
      </c>
      <c r="H12" s="14" t="s">
        <v>102</v>
      </c>
      <c r="I12" s="95" t="s">
        <v>103</v>
      </c>
      <c r="J12" s="95" t="s">
        <v>104</v>
      </c>
      <c r="K12" s="14" t="s">
        <v>105</v>
      </c>
      <c r="L12" s="42"/>
      <c r="M12" s="119"/>
      <c r="N12" s="119"/>
    </row>
    <row r="13" spans="2:14" ht="26.25">
      <c r="B13" s="179" t="s">
        <v>50</v>
      </c>
      <c r="C13" s="184">
        <v>125</v>
      </c>
      <c r="D13" s="185">
        <v>2</v>
      </c>
      <c r="E13" s="187">
        <v>16.2</v>
      </c>
      <c r="F13" s="202">
        <f aca="true" t="shared" si="0" ref="F13:F19">E13*D13*C13</f>
        <v>4050</v>
      </c>
      <c r="G13" s="156">
        <f aca="true" t="shared" si="1" ref="G13:G19">F13*C3</f>
        <v>56.39625</v>
      </c>
      <c r="H13" s="152">
        <f aca="true" t="shared" si="2" ref="H13:H19">F13*E3</f>
        <v>6.06285</v>
      </c>
      <c r="I13" s="182">
        <f aca="true" t="shared" si="3" ref="I13:I19">F13*G3</f>
        <v>6.03045</v>
      </c>
      <c r="J13" s="182">
        <f aca="true" t="shared" si="4" ref="J13:J19">F13*I3</f>
        <v>0.03645</v>
      </c>
      <c r="K13" s="183">
        <f aca="true" t="shared" si="5" ref="K13:K19">F13*K3</f>
        <v>0.324</v>
      </c>
      <c r="L13" s="180"/>
      <c r="M13" s="181"/>
      <c r="N13" s="181"/>
    </row>
    <row r="14" spans="2:14" ht="12.75">
      <c r="B14" s="114" t="s">
        <v>156</v>
      </c>
      <c r="C14" s="188">
        <v>13</v>
      </c>
      <c r="D14" s="143">
        <v>1</v>
      </c>
      <c r="E14" s="203">
        <v>10</v>
      </c>
      <c r="F14" s="204">
        <f t="shared" si="0"/>
        <v>130</v>
      </c>
      <c r="G14" s="94">
        <f t="shared" si="1"/>
        <v>1.81025</v>
      </c>
      <c r="H14" s="129">
        <f t="shared" si="2"/>
        <v>0.19461</v>
      </c>
      <c r="I14" s="18">
        <f t="shared" si="3"/>
        <v>0.19357000000000002</v>
      </c>
      <c r="J14" s="18">
        <f t="shared" si="4"/>
        <v>0.00117</v>
      </c>
      <c r="K14" s="96">
        <f t="shared" si="5"/>
        <v>0.010400000000000001</v>
      </c>
      <c r="L14" s="180"/>
      <c r="M14" s="181"/>
      <c r="N14" s="181"/>
    </row>
    <row r="15" spans="1:14" ht="12.75">
      <c r="A15" s="297" t="s">
        <v>196</v>
      </c>
      <c r="B15" s="114" t="s">
        <v>107</v>
      </c>
      <c r="C15" s="188">
        <v>5</v>
      </c>
      <c r="D15" s="143">
        <v>1</v>
      </c>
      <c r="E15" s="203">
        <v>4</v>
      </c>
      <c r="F15" s="204">
        <f t="shared" si="0"/>
        <v>20</v>
      </c>
      <c r="G15" s="94">
        <f t="shared" si="1"/>
        <v>0.3827</v>
      </c>
      <c r="H15" s="129">
        <f t="shared" si="2"/>
        <v>0.05558</v>
      </c>
      <c r="I15" s="18">
        <f t="shared" si="3"/>
        <v>0.5351199999999999</v>
      </c>
      <c r="J15" s="18">
        <f t="shared" si="4"/>
        <v>0.00496</v>
      </c>
      <c r="K15" s="96">
        <f t="shared" si="5"/>
        <v>0.009661650531965877</v>
      </c>
      <c r="L15" s="180"/>
      <c r="M15" s="181"/>
      <c r="N15" s="181"/>
    </row>
    <row r="16" spans="1:14" s="91" customFormat="1" ht="12.75">
      <c r="A16" s="297"/>
      <c r="B16" s="114" t="s">
        <v>95</v>
      </c>
      <c r="C16" s="188">
        <v>2</v>
      </c>
      <c r="D16" s="143">
        <v>1</v>
      </c>
      <c r="E16" s="203">
        <v>10</v>
      </c>
      <c r="F16" s="204">
        <f t="shared" si="0"/>
        <v>20</v>
      </c>
      <c r="G16" s="94">
        <f t="shared" si="1"/>
        <v>0.3827</v>
      </c>
      <c r="H16" s="129">
        <f t="shared" si="2"/>
        <v>0.05558</v>
      </c>
      <c r="I16" s="18">
        <f t="shared" si="3"/>
        <v>0.5351199999999999</v>
      </c>
      <c r="J16" s="18">
        <f t="shared" si="4"/>
        <v>0.00496</v>
      </c>
      <c r="K16" s="96">
        <f t="shared" si="5"/>
        <v>0.009661650531965877</v>
      </c>
      <c r="L16" s="115"/>
      <c r="M16" s="125"/>
      <c r="N16" s="125"/>
    </row>
    <row r="17" spans="2:14" s="91" customFormat="1" ht="12.75">
      <c r="B17" s="114" t="s">
        <v>155</v>
      </c>
      <c r="C17" s="188">
        <v>2</v>
      </c>
      <c r="D17" s="143">
        <v>1</v>
      </c>
      <c r="E17" s="203">
        <v>10</v>
      </c>
      <c r="F17" s="204">
        <f t="shared" si="0"/>
        <v>20</v>
      </c>
      <c r="G17" s="94">
        <f t="shared" si="1"/>
        <v>0.3827</v>
      </c>
      <c r="H17" s="129">
        <f t="shared" si="2"/>
        <v>0.05558</v>
      </c>
      <c r="I17" s="18">
        <f t="shared" si="3"/>
        <v>0.5351199999999999</v>
      </c>
      <c r="J17" s="18">
        <f t="shared" si="4"/>
        <v>0.00496</v>
      </c>
      <c r="K17" s="96">
        <f t="shared" si="5"/>
        <v>0.009661650531965877</v>
      </c>
      <c r="L17" s="115"/>
      <c r="M17" s="125"/>
      <c r="N17" s="125"/>
    </row>
    <row r="18" spans="2:14" s="91" customFormat="1" ht="12.75">
      <c r="B18" s="114" t="s">
        <v>154</v>
      </c>
      <c r="C18" s="188">
        <v>4</v>
      </c>
      <c r="D18" s="143">
        <v>1</v>
      </c>
      <c r="E18" s="203">
        <v>10</v>
      </c>
      <c r="F18" s="204">
        <f t="shared" si="0"/>
        <v>40</v>
      </c>
      <c r="G18" s="94">
        <f t="shared" si="1"/>
        <v>0.7654</v>
      </c>
      <c r="H18" s="129">
        <f t="shared" si="2"/>
        <v>0.11116</v>
      </c>
      <c r="I18" s="18">
        <f t="shared" si="3"/>
        <v>1.0702399999999999</v>
      </c>
      <c r="J18" s="18">
        <f t="shared" si="4"/>
        <v>0.00992</v>
      </c>
      <c r="K18" s="92">
        <f t="shared" si="5"/>
        <v>0.019323301063931753</v>
      </c>
      <c r="L18" s="115"/>
      <c r="M18" s="125"/>
      <c r="N18" s="125"/>
    </row>
    <row r="19" spans="2:14" ht="13.5" thickBot="1">
      <c r="B19" s="193" t="s">
        <v>129</v>
      </c>
      <c r="C19" s="194">
        <v>33</v>
      </c>
      <c r="D19" s="195">
        <v>1</v>
      </c>
      <c r="E19" s="196">
        <v>30</v>
      </c>
      <c r="F19" s="197">
        <f t="shared" si="0"/>
        <v>990</v>
      </c>
      <c r="G19" s="198">
        <f t="shared" si="1"/>
        <v>18.943649999999998</v>
      </c>
      <c r="H19" s="199">
        <f t="shared" si="2"/>
        <v>2.75121</v>
      </c>
      <c r="I19" s="200">
        <f t="shared" si="3"/>
        <v>26.488439999999997</v>
      </c>
      <c r="J19" s="200">
        <f t="shared" si="4"/>
        <v>0.24552000000000002</v>
      </c>
      <c r="K19" s="201">
        <f t="shared" si="5"/>
        <v>0.47825170133231093</v>
      </c>
      <c r="L19" s="115"/>
      <c r="M19" s="125"/>
      <c r="N19" s="125"/>
    </row>
    <row r="20" spans="2:14" ht="14.25" thickBot="1" thickTop="1">
      <c r="B20" s="189" t="s">
        <v>128</v>
      </c>
      <c r="C20" s="190"/>
      <c r="D20" s="190"/>
      <c r="E20" s="190"/>
      <c r="F20" s="190"/>
      <c r="G20" s="191">
        <f>SUM(G13:G19)</f>
        <v>79.06365</v>
      </c>
      <c r="H20" s="191">
        <f>SUM(H13:H19)</f>
        <v>9.28657</v>
      </c>
      <c r="I20" s="191">
        <f>SUM(I13:I19)</f>
        <v>35.388059999999996</v>
      </c>
      <c r="J20" s="191">
        <f>SUM(J13:J19)</f>
        <v>0.30794</v>
      </c>
      <c r="K20" s="192">
        <f>SUM(K13:K19)</f>
        <v>0.8609599539921404</v>
      </c>
      <c r="L20" s="125"/>
      <c r="M20" s="125"/>
      <c r="N20" s="125"/>
    </row>
    <row r="21" spans="2:13" ht="13.5" customHeight="1" hidden="1" thickBot="1">
      <c r="B21" s="45"/>
      <c r="C21" s="71"/>
      <c r="D21" s="71"/>
      <c r="E21" s="71"/>
      <c r="F21" s="116"/>
      <c r="G21" s="116"/>
      <c r="H21" s="116"/>
      <c r="I21" s="116"/>
      <c r="J21" s="116"/>
      <c r="K21" s="116"/>
      <c r="L21" s="116"/>
      <c r="M21" s="116"/>
    </row>
    <row r="22" spans="2:13" ht="13.5" customHeight="1" hidden="1" thickBot="1">
      <c r="B22" s="39" t="s">
        <v>53</v>
      </c>
      <c r="C22" s="271" t="s">
        <v>51</v>
      </c>
      <c r="D22" s="271"/>
      <c r="E22" s="270" t="s">
        <v>0</v>
      </c>
      <c r="F22" s="271"/>
      <c r="G22" s="270" t="s">
        <v>1</v>
      </c>
      <c r="H22" s="271"/>
      <c r="I22" s="270" t="s">
        <v>2</v>
      </c>
      <c r="J22" s="270"/>
      <c r="K22" s="270" t="s">
        <v>6</v>
      </c>
      <c r="L22" s="270"/>
      <c r="M22" s="60" t="s">
        <v>3</v>
      </c>
    </row>
    <row r="23" spans="2:13" ht="41.25" customHeight="1" hidden="1">
      <c r="B23" s="57" t="s">
        <v>106</v>
      </c>
      <c r="C23" s="178">
        <f>C13+C16</f>
        <v>127</v>
      </c>
      <c r="D23" s="155">
        <f>D13+D16</f>
        <v>3</v>
      </c>
      <c r="E23" s="298">
        <f>G13+G16</f>
        <v>56.77895</v>
      </c>
      <c r="F23" s="267"/>
      <c r="G23" s="266">
        <f>H13+H16</f>
        <v>6.11843</v>
      </c>
      <c r="H23" s="267"/>
      <c r="I23" s="266">
        <f>I13+I16</f>
        <v>6.56557</v>
      </c>
      <c r="J23" s="267"/>
      <c r="K23" s="266">
        <f>J13+J16</f>
        <v>0.04141</v>
      </c>
      <c r="L23" s="267"/>
      <c r="M23" s="183">
        <f>K13+K16</f>
        <v>0.3336616505319659</v>
      </c>
    </row>
    <row r="24" spans="2:13" ht="24.75" customHeight="1" hidden="1">
      <c r="B24" s="114"/>
      <c r="C24" s="90"/>
      <c r="D24" s="127"/>
      <c r="E24" s="262"/>
      <c r="F24" s="263"/>
      <c r="G24" s="264"/>
      <c r="H24" s="263"/>
      <c r="I24" s="264"/>
      <c r="J24" s="263"/>
      <c r="K24" s="264"/>
      <c r="L24" s="265"/>
      <c r="M24" s="96"/>
    </row>
    <row r="25" spans="2:13" ht="24.75" customHeight="1" hidden="1">
      <c r="B25" s="114"/>
      <c r="C25" s="90"/>
      <c r="D25" s="127"/>
      <c r="E25" s="262"/>
      <c r="F25" s="263"/>
      <c r="G25" s="264"/>
      <c r="H25" s="263"/>
      <c r="I25" s="264"/>
      <c r="J25" s="263"/>
      <c r="K25" s="264"/>
      <c r="L25" s="265"/>
      <c r="M25" s="96"/>
    </row>
    <row r="26" spans="2:13" ht="24.75" customHeight="1" hidden="1">
      <c r="B26" s="114"/>
      <c r="C26" s="90"/>
      <c r="D26" s="127"/>
      <c r="E26" s="262"/>
      <c r="F26" s="263"/>
      <c r="G26" s="264"/>
      <c r="H26" s="263"/>
      <c r="I26" s="264"/>
      <c r="J26" s="263"/>
      <c r="K26" s="264"/>
      <c r="L26" s="265"/>
      <c r="M26" s="96"/>
    </row>
    <row r="27" spans="2:13" ht="24.75" customHeight="1" hidden="1">
      <c r="B27" s="114"/>
      <c r="C27" s="90"/>
      <c r="D27" s="127"/>
      <c r="E27" s="262"/>
      <c r="F27" s="263"/>
      <c r="G27" s="264"/>
      <c r="H27" s="263"/>
      <c r="I27" s="264"/>
      <c r="J27" s="263"/>
      <c r="K27" s="264"/>
      <c r="L27" s="265"/>
      <c r="M27" s="96"/>
    </row>
    <row r="28" spans="2:13" ht="24.75" customHeight="1" hidden="1">
      <c r="B28" s="114"/>
      <c r="C28" s="90"/>
      <c r="D28" s="127"/>
      <c r="E28" s="262"/>
      <c r="F28" s="263"/>
      <c r="G28" s="264"/>
      <c r="H28" s="263"/>
      <c r="I28" s="264"/>
      <c r="J28" s="263"/>
      <c r="K28" s="264"/>
      <c r="L28" s="265"/>
      <c r="M28" s="96"/>
    </row>
    <row r="29" spans="2:13" ht="24.75" customHeight="1" hidden="1">
      <c r="B29" s="114" t="s">
        <v>109</v>
      </c>
      <c r="C29" s="90">
        <f>C18</f>
        <v>4</v>
      </c>
      <c r="D29" s="127">
        <f>D18</f>
        <v>1</v>
      </c>
      <c r="E29" s="262">
        <f>G18</f>
        <v>0.7654</v>
      </c>
      <c r="F29" s="263"/>
      <c r="G29" s="264">
        <f>H18</f>
        <v>0.11116</v>
      </c>
      <c r="H29" s="263"/>
      <c r="I29" s="264">
        <f>I18</f>
        <v>1.0702399999999999</v>
      </c>
      <c r="J29" s="263"/>
      <c r="K29" s="264">
        <f>J18</f>
        <v>0.00992</v>
      </c>
      <c r="L29" s="265"/>
      <c r="M29" s="96">
        <f>K18</f>
        <v>0.019323301063931753</v>
      </c>
    </row>
    <row r="30" spans="2:13" ht="12.75" customHeight="1" hidden="1">
      <c r="B30" s="294" t="s">
        <v>54</v>
      </c>
      <c r="C30" s="269">
        <f>C17</f>
        <v>2</v>
      </c>
      <c r="D30" s="292">
        <f>D17</f>
        <v>1</v>
      </c>
      <c r="E30" s="289">
        <f>G17</f>
        <v>0.3827</v>
      </c>
      <c r="F30" s="290"/>
      <c r="G30" s="291">
        <f>H17</f>
        <v>0.05558</v>
      </c>
      <c r="H30" s="268"/>
      <c r="I30" s="291">
        <f>+I17</f>
        <v>0.5351199999999999</v>
      </c>
      <c r="J30" s="268"/>
      <c r="K30" s="291">
        <f>J17</f>
        <v>0.00496</v>
      </c>
      <c r="L30" s="291"/>
      <c r="M30" s="288">
        <f>K17</f>
        <v>0.009661650531965877</v>
      </c>
    </row>
    <row r="31" spans="2:13" ht="15.75" customHeight="1" hidden="1">
      <c r="B31" s="295"/>
      <c r="C31" s="287"/>
      <c r="D31" s="293"/>
      <c r="E31" s="287"/>
      <c r="F31" s="290"/>
      <c r="G31" s="268"/>
      <c r="H31" s="268"/>
      <c r="I31" s="268"/>
      <c r="J31" s="268"/>
      <c r="K31" s="291"/>
      <c r="L31" s="291"/>
      <c r="M31" s="288"/>
    </row>
    <row r="32" spans="2:13" ht="27.75" customHeight="1" hidden="1" thickBot="1">
      <c r="B32" s="139" t="s">
        <v>55</v>
      </c>
      <c r="C32" s="93" t="e">
        <f>C19+#REF!</f>
        <v>#REF!</v>
      </c>
      <c r="D32" s="123" t="e">
        <f>+#REF!+D19</f>
        <v>#REF!</v>
      </c>
      <c r="E32" s="286" t="e">
        <f>+#REF!+G19</f>
        <v>#REF!</v>
      </c>
      <c r="F32" s="273"/>
      <c r="G32" s="285" t="e">
        <f>#REF!+#REF!</f>
        <v>#REF!</v>
      </c>
      <c r="H32" s="273"/>
      <c r="I32" s="285" t="e">
        <f>#REF!+I19</f>
        <v>#REF!</v>
      </c>
      <c r="J32" s="273"/>
      <c r="K32" s="285" t="e">
        <f>#REF!+J19</f>
        <v>#REF!</v>
      </c>
      <c r="L32" s="285"/>
      <c r="M32" s="86" t="e">
        <f>#REF!+K19</f>
        <v>#REF!</v>
      </c>
    </row>
    <row r="33" spans="2:13" ht="14.25" customHeight="1" hidden="1" thickBot="1">
      <c r="B33" s="1" t="s">
        <v>124</v>
      </c>
      <c r="C33" s="1"/>
      <c r="D33" s="2"/>
      <c r="E33" s="270" t="e">
        <f>SUM(E23:F32)</f>
        <v>#REF!</v>
      </c>
      <c r="F33" s="271"/>
      <c r="G33" s="270" t="e">
        <f>SUM(G23:H32)</f>
        <v>#REF!</v>
      </c>
      <c r="H33" s="271"/>
      <c r="I33" s="270" t="e">
        <f>SUM(I23:J32)</f>
        <v>#REF!</v>
      </c>
      <c r="J33" s="271"/>
      <c r="K33" s="270" t="e">
        <f>SUM(K23:L32)</f>
        <v>#REF!</v>
      </c>
      <c r="L33" s="271"/>
      <c r="M33" s="60" t="e">
        <f>SUM(M23:M32)</f>
        <v>#REF!</v>
      </c>
    </row>
    <row r="35" ht="12.75">
      <c r="B35" s="141" t="s">
        <v>215</v>
      </c>
    </row>
    <row r="36" ht="12.75">
      <c r="B36" s="10"/>
    </row>
    <row r="37" spans="2:13" ht="12.75">
      <c r="B37" t="s">
        <v>161</v>
      </c>
      <c r="M37" s="53"/>
    </row>
  </sheetData>
  <sheetProtection/>
  <mergeCells count="93">
    <mergeCell ref="K29:L29"/>
    <mergeCell ref="B30:B31"/>
    <mergeCell ref="B1:L1"/>
    <mergeCell ref="A15:A16"/>
    <mergeCell ref="E29:F29"/>
    <mergeCell ref="G29:H29"/>
    <mergeCell ref="I29:J29"/>
    <mergeCell ref="C22:D22"/>
    <mergeCell ref="E22:F22"/>
    <mergeCell ref="E23:F23"/>
    <mergeCell ref="C4:D4"/>
    <mergeCell ref="C30:C31"/>
    <mergeCell ref="M30:M31"/>
    <mergeCell ref="E30:F31"/>
    <mergeCell ref="G30:H31"/>
    <mergeCell ref="I30:J31"/>
    <mergeCell ref="K30:L31"/>
    <mergeCell ref="D30:D31"/>
    <mergeCell ref="K33:L33"/>
    <mergeCell ref="K32:L32"/>
    <mergeCell ref="E32:F32"/>
    <mergeCell ref="G32:H32"/>
    <mergeCell ref="I32:J32"/>
    <mergeCell ref="E33:F33"/>
    <mergeCell ref="G33:H33"/>
    <mergeCell ref="I33:J33"/>
    <mergeCell ref="G4:H4"/>
    <mergeCell ref="I4:J4"/>
    <mergeCell ref="I3:J3"/>
    <mergeCell ref="E4:F4"/>
    <mergeCell ref="G2:H2"/>
    <mergeCell ref="I2:J2"/>
    <mergeCell ref="C3:D3"/>
    <mergeCell ref="E2:F2"/>
    <mergeCell ref="E3:F3"/>
    <mergeCell ref="C2:D2"/>
    <mergeCell ref="K3:L3"/>
    <mergeCell ref="G3:H3"/>
    <mergeCell ref="K2:L2"/>
    <mergeCell ref="K5:L5"/>
    <mergeCell ref="K6:L6"/>
    <mergeCell ref="K7:L7"/>
    <mergeCell ref="K8:L8"/>
    <mergeCell ref="K4:L4"/>
    <mergeCell ref="G22:H22"/>
    <mergeCell ref="I22:J22"/>
    <mergeCell ref="C9:D9"/>
    <mergeCell ref="E9:F9"/>
    <mergeCell ref="G9:H9"/>
    <mergeCell ref="I9:J9"/>
    <mergeCell ref="C11:F11"/>
    <mergeCell ref="G11:K11"/>
    <mergeCell ref="K9:L9"/>
    <mergeCell ref="K22:L22"/>
    <mergeCell ref="C5:D5"/>
    <mergeCell ref="E5:F5"/>
    <mergeCell ref="G5:H5"/>
    <mergeCell ref="I5:J5"/>
    <mergeCell ref="C7:D7"/>
    <mergeCell ref="E7:F7"/>
    <mergeCell ref="G7:H7"/>
    <mergeCell ref="I7:J7"/>
    <mergeCell ref="C6:D6"/>
    <mergeCell ref="E6:F6"/>
    <mergeCell ref="G6:H6"/>
    <mergeCell ref="I6:J6"/>
    <mergeCell ref="C8:D8"/>
    <mergeCell ref="E8:F8"/>
    <mergeCell ref="G8:H8"/>
    <mergeCell ref="I8:J8"/>
    <mergeCell ref="G23:H23"/>
    <mergeCell ref="I23:J23"/>
    <mergeCell ref="K23:L23"/>
    <mergeCell ref="E24:F24"/>
    <mergeCell ref="G24:H24"/>
    <mergeCell ref="I24:J24"/>
    <mergeCell ref="K24:L24"/>
    <mergeCell ref="E25:F25"/>
    <mergeCell ref="G25:H25"/>
    <mergeCell ref="I25:J25"/>
    <mergeCell ref="K25:L25"/>
    <mergeCell ref="E26:F26"/>
    <mergeCell ref="G26:H26"/>
    <mergeCell ref="I26:J26"/>
    <mergeCell ref="K26:L26"/>
    <mergeCell ref="E28:F28"/>
    <mergeCell ref="G28:H28"/>
    <mergeCell ref="I28:J28"/>
    <mergeCell ref="K28:L28"/>
    <mergeCell ref="E27:F27"/>
    <mergeCell ref="G27:H27"/>
    <mergeCell ref="I27:J27"/>
    <mergeCell ref="K27:L27"/>
  </mergeCells>
  <printOptions horizontalCentered="1"/>
  <pageMargins left="0.75" right="0.75" top="1.3" bottom="0.5" header="0.75" footer="0.5"/>
  <pageSetup firstPageNumber="3" useFirstPageNumber="1" fitToHeight="1" fitToWidth="1" horizontalDpi="600" verticalDpi="600" orientation="landscape" scale="86" r:id="rId1"/>
  <headerFooter alignWithMargins="0">
    <oddHeader>&amp;C&amp;"Arial,Bold"&amp;14Table C-7
On-site/Off-site Construction Vehicle Emissions - December 2006&amp;12
</oddHeader>
    <oddFooter>&amp;L&amp;8M:\MC\2393 BP\EIR\&amp;F:&amp;A&amp;R&amp;8&amp;D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2006-06-13T17:45:43Z</cp:lastPrinted>
  <dcterms:created xsi:type="dcterms:W3CDTF">2001-03-17T00:01:53Z</dcterms:created>
  <dcterms:modified xsi:type="dcterms:W3CDTF">2014-08-06T19:24:26Z</dcterms:modified>
  <cp:category/>
  <cp:version/>
  <cp:contentType/>
  <cp:contentStatus/>
</cp:coreProperties>
</file>