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4332" tabRatio="599" activeTab="0"/>
  </bookViews>
  <sheets>
    <sheet name="Heavy Crude Hazards" sheetId="1" r:id="rId1"/>
  </sheets>
  <definedNames>
    <definedName name="_xlnm.Print_Area" localSheetId="0">'Heavy Crude Hazards'!$A$1:$K$56</definedName>
  </definedNames>
  <calcPr fullCalcOnLoad="1" iterate="1" iterateCount="1" iterateDelta="0.001"/>
</workbook>
</file>

<file path=xl/sharedStrings.xml><?xml version="1.0" encoding="utf-8"?>
<sst xmlns="http://schemas.openxmlformats.org/spreadsheetml/2006/main" count="97" uniqueCount="62">
  <si>
    <t>Chemical</t>
  </si>
  <si>
    <t>Diesel</t>
  </si>
  <si>
    <t>Gasoline</t>
  </si>
  <si>
    <t>Pentane</t>
  </si>
  <si>
    <t>Butane</t>
  </si>
  <si>
    <t>Container</t>
  </si>
  <si>
    <t>Gallons</t>
  </si>
  <si>
    <t>Pounds</t>
  </si>
  <si>
    <t>x (m)</t>
  </si>
  <si>
    <t>A (m**2)</t>
  </si>
  <si>
    <t>Tb (K)</t>
  </si>
  <si>
    <t>Ta (K)</t>
  </si>
  <si>
    <t>Wt (kg)</t>
  </si>
  <si>
    <t>Hc (joules/kg)</t>
  </si>
  <si>
    <t>Hc (J/kg)</t>
  </si>
  <si>
    <t>Hv (J/kg)</t>
  </si>
  <si>
    <t>Cp (j/kgK)</t>
  </si>
  <si>
    <t>Hv (joules/kg)</t>
  </si>
  <si>
    <t>Scenario</t>
  </si>
  <si>
    <t>Tank Vol (BBL)</t>
  </si>
  <si>
    <t>Reference</t>
  </si>
  <si>
    <t>Petroleum Refining, J. Gary and G Handwerk, Marcel Dekker, Inc, 1975</t>
  </si>
  <si>
    <t>References</t>
  </si>
  <si>
    <t>Description</t>
  </si>
  <si>
    <t>Containment Area (sq ft)</t>
  </si>
  <si>
    <t>Cp   (joules/kg-K)</t>
  </si>
  <si>
    <t>Hc    (joules/kg)</t>
  </si>
  <si>
    <t>Density (lb/gal)</t>
  </si>
  <si>
    <t>Barrels</t>
  </si>
  <si>
    <t>Kg</t>
  </si>
  <si>
    <t>Event Type</t>
  </si>
  <si>
    <t>Explosion</t>
  </si>
  <si>
    <t>Pool fire</t>
  </si>
  <si>
    <t>Tank Vol (Gal)</t>
  </si>
  <si>
    <t>Size (BBL)</t>
  </si>
  <si>
    <t>Propane</t>
  </si>
  <si>
    <t>Air Liquide Gas Data: http://www.airliquide.com/en/business/products/gases/gasdata/index.asp</t>
  </si>
  <si>
    <t>C-73 Coker Depropanizer</t>
  </si>
  <si>
    <t>C-506 Coker Depropanizer</t>
  </si>
  <si>
    <t>Old Coker Main Fractionator</t>
  </si>
  <si>
    <t>New Coker Main Fractionator</t>
  </si>
  <si>
    <t>Density site-specific value computed by Fluor for project.</t>
  </si>
  <si>
    <t>Hc and Hv values are mol weighted averages</t>
  </si>
  <si>
    <t>6,7,8</t>
  </si>
  <si>
    <t>Depropanizer Vapor</t>
  </si>
  <si>
    <t>Depropanizer Liquid</t>
  </si>
  <si>
    <t>Number</t>
  </si>
  <si>
    <t>Jet Wash Column</t>
  </si>
  <si>
    <t xml:space="preserve">Coker depropanizer liquid/vapor assumed to be 30% Propane, 45% Butane, 25% Pentane (mol basis).  
Coker defractionator liquid is diesel and resid.  Assume all diesel for pool fire.  
Vapor includes tail gas, LPG, gasoline, jet and diesel, and gasoil.  Assume all depropanizer vapor is gasoline.
Jet Wash uses Jet Fuel/Diesel.  To be conservative, assume liquid/vapor has the physical properties of gasoline.  </t>
  </si>
  <si>
    <t>Containment Depth (cm)</t>
  </si>
  <si>
    <t>Pool Area
(sq ft)</t>
  </si>
  <si>
    <t>Pool Area
(sq m)</t>
  </si>
  <si>
    <t>Release Volume (cu ft)</t>
  </si>
  <si>
    <t>Based on EPA RMP Off-Site Consequence Analysis Guideline (5/24/96).  Equation D-25.  Distance to Threshold rounded to the nearest 10 meters.</t>
  </si>
  <si>
    <t>Based on EPA RMP Off-Site Consequence Analysis Guideline (5/24/96).  Equation C-1.  Distance to Threshold rounded to the nearest 10 meters.</t>
  </si>
  <si>
    <t>Table C-1.  Chemical Physical Parameters</t>
  </si>
  <si>
    <t>Table C-2.  Scenario Definitions</t>
  </si>
  <si>
    <t>Table C-3.  Liquid Pool Surface Area.</t>
  </si>
  <si>
    <t>Table C-4.  Pool Fire with Boiling point above ambient temperature.</t>
  </si>
  <si>
    <t>Impact Threshold is distance is to energy flux of 5kW/m^2</t>
  </si>
  <si>
    <t>Table C-5.  Blast (Vapor Explosion).</t>
  </si>
  <si>
    <t xml:space="preserve"> Impact Threshold is distance to overpressure of 1 psi.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</si>
</sst>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0.0000"/>
  </numFmts>
  <fonts count="38">
    <font>
      <sz val="10"/>
      <name val="Arial"/>
      <family val="0"/>
    </font>
    <font>
      <sz val="11"/>
      <color indexed="8"/>
      <name val="Calibri"/>
      <family val="2"/>
    </font>
    <font>
      <b/>
      <sz val="10"/>
      <name val="Arial"/>
      <family val="2"/>
    </font>
    <font>
      <sz val="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right style="thin"/>
      <top style="thin"/>
      <bottom/>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0" xfId="0" applyFont="1" applyAlignment="1">
      <alignment horizontal="left"/>
    </xf>
    <xf numFmtId="164" fontId="2" fillId="0" borderId="0" xfId="0" applyNumberFormat="1" applyFont="1" applyAlignment="1">
      <alignment horizontal="center" wrapText="1"/>
    </xf>
    <xf numFmtId="0" fontId="2" fillId="0" borderId="11" xfId="0" applyFont="1" applyBorder="1" applyAlignment="1">
      <alignment horizontal="center" wrapText="1"/>
    </xf>
    <xf numFmtId="164" fontId="2" fillId="0" borderId="11" xfId="0" applyNumberFormat="1" applyFont="1" applyBorder="1" applyAlignment="1">
      <alignment horizontal="center" wrapText="1"/>
    </xf>
    <xf numFmtId="164" fontId="2" fillId="0" borderId="11" xfId="0" applyNumberFormat="1" applyFont="1" applyBorder="1" applyAlignment="1">
      <alignment horizontal="center"/>
    </xf>
    <xf numFmtId="166" fontId="0" fillId="0" borderId="11" xfId="42" applyNumberFormat="1" applyFont="1" applyBorder="1" applyAlignment="1">
      <alignment horizontal="center"/>
    </xf>
    <xf numFmtId="0" fontId="3" fillId="0" borderId="0" xfId="0" applyFont="1" applyAlignment="1">
      <alignment/>
    </xf>
    <xf numFmtId="166" fontId="0" fillId="0" borderId="0" xfId="42" applyNumberFormat="1" applyFont="1" applyBorder="1" applyAlignment="1">
      <alignment horizontal="center"/>
    </xf>
    <xf numFmtId="11" fontId="0" fillId="0" borderId="11" xfId="0" applyNumberFormat="1" applyFont="1" applyBorder="1" applyAlignment="1">
      <alignment horizontal="center"/>
    </xf>
    <xf numFmtId="1" fontId="0" fillId="0" borderId="11" xfId="0" applyNumberFormat="1" applyFont="1" applyBorder="1" applyAlignment="1">
      <alignment horizontal="center"/>
    </xf>
    <xf numFmtId="164" fontId="0" fillId="0" borderId="11" xfId="0" applyNumberFormat="1" applyFont="1" applyBorder="1" applyAlignment="1">
      <alignment horizontal="center"/>
    </xf>
    <xf numFmtId="165" fontId="0" fillId="0" borderId="11" xfId="0" applyNumberFormat="1" applyFont="1" applyBorder="1" applyAlignment="1">
      <alignment horizontal="center"/>
    </xf>
    <xf numFmtId="14" fontId="0" fillId="0" borderId="0" xfId="0" applyNumberFormat="1" applyFont="1" applyAlignment="1">
      <alignment/>
    </xf>
    <xf numFmtId="164" fontId="0" fillId="0" borderId="0" xfId="0" applyNumberFormat="1" applyFont="1" applyAlignment="1">
      <alignment/>
    </xf>
    <xf numFmtId="0" fontId="0" fillId="0" borderId="11" xfId="0" applyFont="1" applyBorder="1" applyAlignment="1">
      <alignment horizontal="center"/>
    </xf>
    <xf numFmtId="0" fontId="0" fillId="0" borderId="11" xfId="0" applyFont="1" applyBorder="1" applyAlignment="1">
      <alignment horizontal="left"/>
    </xf>
    <xf numFmtId="0" fontId="0" fillId="0" borderId="11" xfId="0" applyFont="1" applyBorder="1" applyAlignment="1">
      <alignment horizontal="left" wrapText="1"/>
    </xf>
    <xf numFmtId="0" fontId="0" fillId="0" borderId="11" xfId="0" applyFont="1" applyBorder="1" applyAlignment="1">
      <alignment horizontal="center" wrapText="1"/>
    </xf>
    <xf numFmtId="0" fontId="0" fillId="0" borderId="10" xfId="0" applyFont="1" applyBorder="1" applyAlignment="1">
      <alignment horizontal="center"/>
    </xf>
    <xf numFmtId="0" fontId="0" fillId="0" borderId="12" xfId="0" applyFont="1" applyBorder="1" applyAlignment="1">
      <alignment/>
    </xf>
    <xf numFmtId="164" fontId="0" fillId="0" borderId="13" xfId="0" applyNumberFormat="1" applyFont="1" applyBorder="1" applyAlignment="1">
      <alignment/>
    </xf>
    <xf numFmtId="0" fontId="0" fillId="0" borderId="10" xfId="0" applyFont="1" applyBorder="1" applyAlignment="1">
      <alignment/>
    </xf>
    <xf numFmtId="0" fontId="0" fillId="0" borderId="14" xfId="0" applyFont="1" applyBorder="1" applyAlignment="1">
      <alignment/>
    </xf>
    <xf numFmtId="11" fontId="0" fillId="0" borderId="14" xfId="0" applyNumberFormat="1" applyFont="1" applyBorder="1" applyAlignment="1">
      <alignment/>
    </xf>
    <xf numFmtId="164" fontId="0" fillId="0" borderId="15" xfId="0" applyNumberFormat="1" applyFont="1" applyBorder="1" applyAlignment="1">
      <alignment/>
    </xf>
    <xf numFmtId="11" fontId="0" fillId="0" borderId="0" xfId="0" applyNumberFormat="1" applyFont="1" applyAlignment="1">
      <alignment/>
    </xf>
    <xf numFmtId="0" fontId="0" fillId="0" borderId="16" xfId="0" applyFont="1" applyBorder="1" applyAlignment="1">
      <alignment horizontal="left" wrapText="1"/>
    </xf>
    <xf numFmtId="43" fontId="0" fillId="0" borderId="0" xfId="0" applyNumberFormat="1" applyFont="1" applyAlignment="1">
      <alignment/>
    </xf>
    <xf numFmtId="0" fontId="0" fillId="0" borderId="11"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166" fontId="0" fillId="0" borderId="11" xfId="42" applyNumberFormat="1" applyFont="1" applyBorder="1" applyAlignment="1">
      <alignment/>
    </xf>
    <xf numFmtId="164" fontId="0" fillId="0" borderId="0" xfId="0" applyNumberFormat="1" applyFont="1" applyAlignment="1">
      <alignment horizontal="center"/>
    </xf>
    <xf numFmtId="0" fontId="0" fillId="0" borderId="11" xfId="0" applyFont="1" applyBorder="1" applyAlignment="1">
      <alignment/>
    </xf>
    <xf numFmtId="166" fontId="0" fillId="0" borderId="0" xfId="42" applyNumberFormat="1" applyFont="1" applyBorder="1" applyAlignment="1">
      <alignment/>
    </xf>
    <xf numFmtId="167" fontId="0" fillId="0" borderId="0" xfId="0" applyNumberFormat="1" applyFont="1" applyBorder="1" applyAlignment="1">
      <alignment horizontal="center"/>
    </xf>
    <xf numFmtId="1" fontId="0" fillId="0" borderId="0" xfId="0" applyNumberFormat="1" applyFont="1" applyAlignment="1">
      <alignment horizontal="center"/>
    </xf>
    <xf numFmtId="0" fontId="0" fillId="0" borderId="0" xfId="0" applyFont="1" applyAlignment="1">
      <alignment horizontal="center"/>
    </xf>
    <xf numFmtId="11" fontId="0" fillId="0" borderId="0" xfId="0" applyNumberFormat="1" applyFont="1" applyAlignment="1">
      <alignment horizontal="center"/>
    </xf>
    <xf numFmtId="0" fontId="0" fillId="0" borderId="10"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A1" sqref="A1"/>
    </sheetView>
  </sheetViews>
  <sheetFormatPr defaultColWidth="9.140625" defaultRowHeight="12.75"/>
  <cols>
    <col min="1" max="1" width="13.140625" style="2" customWidth="1"/>
    <col min="2" max="2" width="19.140625" style="2" customWidth="1"/>
    <col min="3" max="3" width="14.421875" style="2" customWidth="1"/>
    <col min="4" max="4" width="12.28125" style="2" customWidth="1"/>
    <col min="5" max="5" width="14.7109375" style="2" customWidth="1"/>
    <col min="6" max="6" width="13.00390625" style="2" customWidth="1"/>
    <col min="7" max="7" width="13.140625" style="2" bestFit="1" customWidth="1"/>
    <col min="8" max="8" width="12.57421875" style="18" customWidth="1"/>
    <col min="9" max="9" width="11.00390625" style="2" customWidth="1"/>
    <col min="10" max="10" width="9.28125" style="2" bestFit="1" customWidth="1"/>
    <col min="11" max="11" width="9.140625" style="18" customWidth="1"/>
    <col min="12" max="16384" width="9.140625" style="2" customWidth="1"/>
  </cols>
  <sheetData>
    <row r="1" ht="12.75">
      <c r="A1" s="1" t="s">
        <v>55</v>
      </c>
    </row>
    <row r="2" spans="1:8" ht="26.25">
      <c r="A2" s="4" t="s">
        <v>46</v>
      </c>
      <c r="B2" s="4" t="s">
        <v>0</v>
      </c>
      <c r="C2" s="7" t="s">
        <v>26</v>
      </c>
      <c r="D2" s="7" t="s">
        <v>17</v>
      </c>
      <c r="E2" s="7" t="s">
        <v>25</v>
      </c>
      <c r="F2" s="8" t="s">
        <v>10</v>
      </c>
      <c r="G2" s="8" t="s">
        <v>27</v>
      </c>
      <c r="H2" s="7" t="s">
        <v>20</v>
      </c>
    </row>
    <row r="3" spans="1:8" ht="12.75">
      <c r="A3" s="19">
        <v>1</v>
      </c>
      <c r="B3" s="20" t="s">
        <v>1</v>
      </c>
      <c r="C3" s="13">
        <v>48100000</v>
      </c>
      <c r="D3" s="19">
        <v>275218</v>
      </c>
      <c r="E3" s="19">
        <v>2183</v>
      </c>
      <c r="F3" s="15">
        <v>447</v>
      </c>
      <c r="G3" s="16">
        <v>7.09</v>
      </c>
      <c r="H3" s="19">
        <v>1</v>
      </c>
    </row>
    <row r="4" spans="1:8" ht="12.75">
      <c r="A4" s="19">
        <v>2</v>
      </c>
      <c r="B4" s="20" t="s">
        <v>2</v>
      </c>
      <c r="C4" s="13">
        <v>47800000</v>
      </c>
      <c r="D4" s="19">
        <v>300513</v>
      </c>
      <c r="E4" s="19">
        <v>2198</v>
      </c>
      <c r="F4" s="15">
        <v>398.7</v>
      </c>
      <c r="G4" s="16">
        <v>5.89</v>
      </c>
      <c r="H4" s="19">
        <v>1</v>
      </c>
    </row>
    <row r="5" spans="1:8" ht="12.75">
      <c r="A5" s="19">
        <v>3</v>
      </c>
      <c r="B5" s="20" t="s">
        <v>4</v>
      </c>
      <c r="C5" s="13">
        <v>49000000</v>
      </c>
      <c r="D5" s="19">
        <v>384400</v>
      </c>
      <c r="E5" s="19">
        <v>1660</v>
      </c>
      <c r="F5" s="15">
        <v>268</v>
      </c>
      <c r="G5" s="16">
        <v>4.87</v>
      </c>
      <c r="H5" s="19">
        <v>1</v>
      </c>
    </row>
    <row r="6" spans="1:8" ht="12.75">
      <c r="A6" s="19">
        <v>4</v>
      </c>
      <c r="B6" s="20" t="s">
        <v>3</v>
      </c>
      <c r="C6" s="13">
        <v>48600000</v>
      </c>
      <c r="D6" s="19">
        <v>356415</v>
      </c>
      <c r="E6" s="19">
        <v>2283</v>
      </c>
      <c r="F6" s="15">
        <v>309</v>
      </c>
      <c r="G6" s="16">
        <v>5.26</v>
      </c>
      <c r="H6" s="19">
        <v>1</v>
      </c>
    </row>
    <row r="7" spans="1:8" ht="12.75">
      <c r="A7" s="19">
        <v>5</v>
      </c>
      <c r="B7" s="20" t="s">
        <v>35</v>
      </c>
      <c r="C7" s="13">
        <v>46360000</v>
      </c>
      <c r="D7" s="19">
        <v>425310</v>
      </c>
      <c r="E7" s="19">
        <v>1703</v>
      </c>
      <c r="F7" s="15">
        <v>231</v>
      </c>
      <c r="G7" s="19"/>
      <c r="H7" s="19">
        <v>6</v>
      </c>
    </row>
    <row r="8" spans="1:8" ht="12.75">
      <c r="A8" s="19">
        <v>6</v>
      </c>
      <c r="B8" s="21" t="s">
        <v>44</v>
      </c>
      <c r="C8" s="13">
        <f aca="true" t="shared" si="0" ref="C8:E9">0.3*C$7+0.45*C$5+0.25*C$6</f>
        <v>48108000</v>
      </c>
      <c r="D8" s="14">
        <f t="shared" si="0"/>
        <v>389676.75</v>
      </c>
      <c r="E8" s="14">
        <f t="shared" si="0"/>
        <v>1828.65</v>
      </c>
      <c r="F8" s="15"/>
      <c r="G8" s="16">
        <f>2.4/7.481</f>
        <v>0.3208127255714477</v>
      </c>
      <c r="H8" s="22" t="s">
        <v>43</v>
      </c>
    </row>
    <row r="9" spans="1:8" ht="12.75">
      <c r="A9" s="19">
        <v>7</v>
      </c>
      <c r="B9" s="21" t="s">
        <v>45</v>
      </c>
      <c r="C9" s="13">
        <f t="shared" si="0"/>
        <v>48108000</v>
      </c>
      <c r="D9" s="14">
        <f t="shared" si="0"/>
        <v>389676.75</v>
      </c>
      <c r="E9" s="14">
        <f t="shared" si="0"/>
        <v>1828.65</v>
      </c>
      <c r="F9" s="15">
        <v>309</v>
      </c>
      <c r="G9" s="16">
        <f>34.5/7.481</f>
        <v>4.61168293008956</v>
      </c>
      <c r="H9" s="22" t="s">
        <v>43</v>
      </c>
    </row>
    <row r="10" spans="1:8" ht="52.5" customHeight="1">
      <c r="A10" s="23"/>
      <c r="B10" s="44" t="s">
        <v>48</v>
      </c>
      <c r="C10" s="45"/>
      <c r="D10" s="45"/>
      <c r="E10" s="45"/>
      <c r="F10" s="45"/>
      <c r="G10" s="45"/>
      <c r="H10" s="46"/>
    </row>
    <row r="11" spans="1:8" ht="12.75">
      <c r="A11" s="38"/>
      <c r="B11" s="3" t="s">
        <v>22</v>
      </c>
      <c r="C11" s="24"/>
      <c r="D11" s="24"/>
      <c r="E11" s="24"/>
      <c r="F11" s="24"/>
      <c r="G11" s="24"/>
      <c r="H11" s="25"/>
    </row>
    <row r="12" spans="1:8" ht="12.75">
      <c r="A12" s="19">
        <v>1</v>
      </c>
      <c r="B12" s="26" t="s">
        <v>21</v>
      </c>
      <c r="C12" s="27"/>
      <c r="D12" s="27"/>
      <c r="E12" s="28"/>
      <c r="F12" s="27"/>
      <c r="G12" s="27"/>
      <c r="H12" s="29"/>
    </row>
    <row r="13" spans="1:8" ht="12.75">
      <c r="A13" s="19">
        <v>6</v>
      </c>
      <c r="B13" s="26" t="s">
        <v>36</v>
      </c>
      <c r="C13" s="27"/>
      <c r="D13" s="27"/>
      <c r="E13" s="28"/>
      <c r="F13" s="27"/>
      <c r="G13" s="27"/>
      <c r="H13" s="29"/>
    </row>
    <row r="14" spans="1:8" ht="12.75">
      <c r="A14" s="19">
        <v>7</v>
      </c>
      <c r="B14" s="26" t="s">
        <v>42</v>
      </c>
      <c r="C14" s="27"/>
      <c r="D14" s="27"/>
      <c r="E14" s="28"/>
      <c r="F14" s="27"/>
      <c r="G14" s="27"/>
      <c r="H14" s="29"/>
    </row>
    <row r="15" spans="1:8" ht="12.75">
      <c r="A15" s="19">
        <v>8</v>
      </c>
      <c r="B15" s="26" t="s">
        <v>41</v>
      </c>
      <c r="C15" s="27"/>
      <c r="D15" s="27"/>
      <c r="E15" s="28"/>
      <c r="F15" s="27"/>
      <c r="G15" s="27"/>
      <c r="H15" s="29"/>
    </row>
    <row r="17" spans="1:5" ht="12.75">
      <c r="A17" s="1" t="s">
        <v>56</v>
      </c>
      <c r="E17" s="30"/>
    </row>
    <row r="18" spans="1:8" ht="12.75">
      <c r="A18" s="4" t="s">
        <v>18</v>
      </c>
      <c r="B18" s="4" t="s">
        <v>5</v>
      </c>
      <c r="C18" s="4" t="s">
        <v>30</v>
      </c>
      <c r="D18" s="4" t="s">
        <v>0</v>
      </c>
      <c r="E18" s="4" t="s">
        <v>28</v>
      </c>
      <c r="F18" s="4" t="s">
        <v>6</v>
      </c>
      <c r="G18" s="9" t="s">
        <v>7</v>
      </c>
      <c r="H18" s="9" t="s">
        <v>29</v>
      </c>
    </row>
    <row r="19" spans="1:10" ht="26.25">
      <c r="A19" s="19">
        <v>1</v>
      </c>
      <c r="B19" s="31" t="s">
        <v>37</v>
      </c>
      <c r="C19" s="20" t="s">
        <v>31</v>
      </c>
      <c r="D19" s="21" t="s">
        <v>44</v>
      </c>
      <c r="E19" s="10" t="str">
        <f>IF(C19="pool fire",F19/42,"-")</f>
        <v>-</v>
      </c>
      <c r="F19" s="10" t="str">
        <f aca="true" t="shared" si="1" ref="F19:F28">IF(C19="pool fire",G19/VLOOKUP(D19,$B$3:$H$9,6,FALSE),"-")</f>
        <v>-</v>
      </c>
      <c r="G19" s="10">
        <v>2944.1</v>
      </c>
      <c r="H19" s="10">
        <f>IF(G19&gt;0,G19*453.6/1000,0)</f>
        <v>1335.44376</v>
      </c>
      <c r="J19" s="32"/>
    </row>
    <row r="20" spans="1:10" ht="26.25">
      <c r="A20" s="19">
        <v>2</v>
      </c>
      <c r="B20" s="31" t="s">
        <v>38</v>
      </c>
      <c r="C20" s="20" t="s">
        <v>31</v>
      </c>
      <c r="D20" s="21" t="s">
        <v>44</v>
      </c>
      <c r="E20" s="10" t="str">
        <f aca="true" t="shared" si="2" ref="E20:E28">IF(C20="pool fire",F20/42,"-")</f>
        <v>-</v>
      </c>
      <c r="F20" s="10" t="str">
        <f t="shared" si="1"/>
        <v>-</v>
      </c>
      <c r="G20" s="10">
        <v>3668</v>
      </c>
      <c r="H20" s="10">
        <f aca="true" t="shared" si="3" ref="H20:H28">IF(G20&gt;0,G20*453.6/1000,0)</f>
        <v>1663.8048000000001</v>
      </c>
      <c r="J20" s="32"/>
    </row>
    <row r="21" spans="1:10" ht="26.25">
      <c r="A21" s="19">
        <v>3</v>
      </c>
      <c r="B21" s="31" t="s">
        <v>37</v>
      </c>
      <c r="C21" s="20" t="s">
        <v>32</v>
      </c>
      <c r="D21" s="21" t="s">
        <v>45</v>
      </c>
      <c r="E21" s="10">
        <f t="shared" si="2"/>
        <v>25.322333126293994</v>
      </c>
      <c r="F21" s="10">
        <f t="shared" si="1"/>
        <v>1063.5379913043478</v>
      </c>
      <c r="G21" s="10">
        <v>4904.7</v>
      </c>
      <c r="H21" s="10">
        <f t="shared" si="3"/>
        <v>2224.77192</v>
      </c>
      <c r="J21" s="32"/>
    </row>
    <row r="22" spans="1:10" ht="26.25">
      <c r="A22" s="19">
        <v>4</v>
      </c>
      <c r="B22" s="31" t="s">
        <v>38</v>
      </c>
      <c r="C22" s="20" t="s">
        <v>32</v>
      </c>
      <c r="D22" s="21" t="s">
        <v>45</v>
      </c>
      <c r="E22" s="10">
        <f t="shared" si="2"/>
        <v>35.96920559006211</v>
      </c>
      <c r="F22" s="10">
        <f t="shared" si="1"/>
        <v>1510.7066347826087</v>
      </c>
      <c r="G22" s="10">
        <v>6966.9</v>
      </c>
      <c r="H22" s="10">
        <f t="shared" si="3"/>
        <v>3160.1858399999996</v>
      </c>
      <c r="J22" s="32"/>
    </row>
    <row r="23" spans="1:8" ht="26.25">
      <c r="A23" s="19">
        <v>5</v>
      </c>
      <c r="B23" s="31" t="s">
        <v>39</v>
      </c>
      <c r="C23" s="20" t="s">
        <v>31</v>
      </c>
      <c r="D23" s="31" t="s">
        <v>1</v>
      </c>
      <c r="E23" s="10" t="str">
        <f t="shared" si="2"/>
        <v>-</v>
      </c>
      <c r="F23" s="10" t="str">
        <f t="shared" si="1"/>
        <v>-</v>
      </c>
      <c r="G23" s="10">
        <v>5065</v>
      </c>
      <c r="H23" s="10">
        <f t="shared" si="3"/>
        <v>2297.484</v>
      </c>
    </row>
    <row r="24" spans="1:8" ht="26.25">
      <c r="A24" s="19">
        <v>6</v>
      </c>
      <c r="B24" s="31" t="s">
        <v>40</v>
      </c>
      <c r="C24" s="20" t="s">
        <v>31</v>
      </c>
      <c r="D24" s="31" t="s">
        <v>1</v>
      </c>
      <c r="E24" s="10" t="str">
        <f t="shared" si="2"/>
        <v>-</v>
      </c>
      <c r="F24" s="10" t="str">
        <f t="shared" si="1"/>
        <v>-</v>
      </c>
      <c r="G24" s="10">
        <v>12339</v>
      </c>
      <c r="H24" s="10">
        <f t="shared" si="3"/>
        <v>5596.9704</v>
      </c>
    </row>
    <row r="25" spans="1:8" ht="26.25">
      <c r="A25" s="19">
        <v>7</v>
      </c>
      <c r="B25" s="31" t="s">
        <v>39</v>
      </c>
      <c r="C25" s="20" t="s">
        <v>32</v>
      </c>
      <c r="D25" s="31" t="s">
        <v>1</v>
      </c>
      <c r="E25" s="10">
        <f t="shared" si="2"/>
        <v>3719.7931358721203</v>
      </c>
      <c r="F25" s="10">
        <f t="shared" si="1"/>
        <v>156231.31170662906</v>
      </c>
      <c r="G25" s="10">
        <v>1107680</v>
      </c>
      <c r="H25" s="10">
        <f t="shared" si="3"/>
        <v>502443.648</v>
      </c>
    </row>
    <row r="26" spans="1:8" ht="26.25">
      <c r="A26" s="19">
        <v>8</v>
      </c>
      <c r="B26" s="21" t="s">
        <v>40</v>
      </c>
      <c r="C26" s="20" t="s">
        <v>32</v>
      </c>
      <c r="D26" s="21" t="s">
        <v>1</v>
      </c>
      <c r="E26" s="10">
        <f t="shared" si="2"/>
        <v>9818.396131372154</v>
      </c>
      <c r="F26" s="10">
        <f t="shared" si="1"/>
        <v>412372.6375176305</v>
      </c>
      <c r="G26" s="10">
        <v>2923722</v>
      </c>
      <c r="H26" s="10">
        <f t="shared" si="3"/>
        <v>1326200.2992</v>
      </c>
    </row>
    <row r="27" spans="1:10" ht="12.75">
      <c r="A27" s="19">
        <v>9</v>
      </c>
      <c r="B27" s="20" t="s">
        <v>47</v>
      </c>
      <c r="C27" s="20" t="s">
        <v>32</v>
      </c>
      <c r="D27" s="33" t="s">
        <v>2</v>
      </c>
      <c r="E27" s="10">
        <f t="shared" si="2"/>
        <v>73.28805885681948</v>
      </c>
      <c r="F27" s="10">
        <f t="shared" si="1"/>
        <v>3078.0984719864177</v>
      </c>
      <c r="G27" s="10">
        <v>18130</v>
      </c>
      <c r="H27" s="10">
        <f t="shared" si="3"/>
        <v>8223.768</v>
      </c>
      <c r="J27" s="32"/>
    </row>
    <row r="28" spans="1:10" ht="12.75">
      <c r="A28" s="19">
        <v>10</v>
      </c>
      <c r="B28" s="20" t="s">
        <v>47</v>
      </c>
      <c r="C28" s="20" t="s">
        <v>31</v>
      </c>
      <c r="D28" s="33" t="s">
        <v>2</v>
      </c>
      <c r="E28" s="10" t="str">
        <f t="shared" si="2"/>
        <v>-</v>
      </c>
      <c r="F28" s="10" t="str">
        <f t="shared" si="1"/>
        <v>-</v>
      </c>
      <c r="G28" s="10">
        <v>1800</v>
      </c>
      <c r="H28" s="10">
        <f t="shared" si="3"/>
        <v>816.48</v>
      </c>
      <c r="J28" s="32"/>
    </row>
    <row r="29" spans="1:8" ht="12.75">
      <c r="A29" s="1"/>
      <c r="H29" s="17"/>
    </row>
    <row r="30" spans="1:4" ht="12.75">
      <c r="A30" s="1" t="s">
        <v>57</v>
      </c>
      <c r="B30" s="1"/>
      <c r="C30" s="1"/>
      <c r="D30" s="1"/>
    </row>
    <row r="31" spans="1:11" ht="26.25">
      <c r="A31" s="4" t="s">
        <v>18</v>
      </c>
      <c r="B31" s="4" t="s">
        <v>23</v>
      </c>
      <c r="C31" s="7" t="s">
        <v>19</v>
      </c>
      <c r="D31" s="7" t="s">
        <v>33</v>
      </c>
      <c r="E31" s="7" t="s">
        <v>52</v>
      </c>
      <c r="F31" s="7" t="s">
        <v>24</v>
      </c>
      <c r="G31" s="7" t="s">
        <v>49</v>
      </c>
      <c r="H31" s="7" t="s">
        <v>50</v>
      </c>
      <c r="I31" s="7" t="s">
        <v>51</v>
      </c>
      <c r="J31" s="6"/>
      <c r="K31" s="6"/>
    </row>
    <row r="32" spans="1:11" ht="26.25">
      <c r="A32" s="19">
        <v>3</v>
      </c>
      <c r="B32" s="21" t="str">
        <f>VLOOKUP($A32,$A$19:$H$28,2,FALSE)</f>
        <v>C-73 Coker Depropanizer</v>
      </c>
      <c r="C32" s="10">
        <f>D32/42</f>
        <v>25.322333126293994</v>
      </c>
      <c r="D32" s="36">
        <f>VLOOKUP($A32,$A$19:$H$28,6,FALSE)</f>
        <v>1063.5379913043478</v>
      </c>
      <c r="E32" s="36">
        <f>D32/7.48</f>
        <v>142.18422343641012</v>
      </c>
      <c r="F32" s="10"/>
      <c r="G32" s="19">
        <v>1</v>
      </c>
      <c r="H32" s="10">
        <f>IF(F32&gt;0,F32,E32*12*2.54/G32)</f>
        <v>4333.775130341781</v>
      </c>
      <c r="I32" s="10">
        <f>H32*0.3048^2</f>
        <v>402.6208842851477</v>
      </c>
      <c r="J32" s="37"/>
      <c r="K32" s="37"/>
    </row>
    <row r="33" spans="1:11" ht="26.25">
      <c r="A33" s="19">
        <v>4</v>
      </c>
      <c r="B33" s="21" t="str">
        <f>VLOOKUP($A33,$A$19:$H$28,2,FALSE)</f>
        <v>C-506 Coker Depropanizer</v>
      </c>
      <c r="C33" s="10">
        <f>D33/42</f>
        <v>35.96920559006211</v>
      </c>
      <c r="D33" s="36">
        <f>VLOOKUP($A33,$A$19:$H$28,6,FALSE)</f>
        <v>1510.7066347826087</v>
      </c>
      <c r="E33" s="36">
        <f>D33/7.48</f>
        <v>201.96612764473377</v>
      </c>
      <c r="F33" s="10"/>
      <c r="G33" s="19">
        <v>1</v>
      </c>
      <c r="H33" s="10">
        <f>IF(F33&gt;0,F33,E33*12*2.54/G33)</f>
        <v>6155.927570611486</v>
      </c>
      <c r="I33" s="10">
        <f>H33*0.3048^2</f>
        <v>571.9043853296217</v>
      </c>
      <c r="J33" s="37"/>
      <c r="K33" s="37"/>
    </row>
    <row r="34" spans="1:11" ht="26.25">
      <c r="A34" s="19">
        <v>7</v>
      </c>
      <c r="B34" s="21" t="str">
        <f>VLOOKUP($A34,$A$19:$H$28,2,FALSE)</f>
        <v>Old Coker Main Fractionator</v>
      </c>
      <c r="C34" s="10">
        <f>D34/42</f>
        <v>3719.7931358721203</v>
      </c>
      <c r="D34" s="36">
        <f>VLOOKUP($A34,$A$19:$H$28,6,FALSE)</f>
        <v>156231.31170662906</v>
      </c>
      <c r="E34" s="36">
        <f>D34/7.48</f>
        <v>20886.53899821244</v>
      </c>
      <c r="F34" s="10">
        <f>100*150</f>
        <v>15000</v>
      </c>
      <c r="G34" s="19"/>
      <c r="H34" s="10">
        <f>IF(F34&gt;0,F34,E34*12*2.54/G34)</f>
        <v>15000</v>
      </c>
      <c r="I34" s="10">
        <f>H34*0.3048^2</f>
        <v>1393.5456000000001</v>
      </c>
      <c r="J34" s="37"/>
      <c r="K34" s="37"/>
    </row>
    <row r="35" spans="1:11" ht="26.25">
      <c r="A35" s="19">
        <v>8</v>
      </c>
      <c r="B35" s="21" t="str">
        <f>VLOOKUP($A35,$A$19:$H$28,2,FALSE)</f>
        <v>New Coker Main Fractionator</v>
      </c>
      <c r="C35" s="10">
        <f>D35/42</f>
        <v>9818.396131372154</v>
      </c>
      <c r="D35" s="36">
        <f>VLOOKUP($A35,$A$19:$H$28,6,FALSE)</f>
        <v>412372.6375176305</v>
      </c>
      <c r="E35" s="36">
        <f>D35/7.48</f>
        <v>55130.03175369391</v>
      </c>
      <c r="F35" s="10">
        <f>100*150</f>
        <v>15000</v>
      </c>
      <c r="G35" s="19"/>
      <c r="H35" s="10">
        <f>IF(F35&gt;0,F35,E35*12*2.54/G35)</f>
        <v>15000</v>
      </c>
      <c r="I35" s="10">
        <f>H35*0.3048^2</f>
        <v>1393.5456000000001</v>
      </c>
      <c r="J35" s="37"/>
      <c r="K35" s="37"/>
    </row>
    <row r="36" spans="1:11" ht="12.75">
      <c r="A36" s="19">
        <v>9</v>
      </c>
      <c r="B36" s="38" t="str">
        <f>VLOOKUP($A36,$A$19:$H$28,2,FALSE)</f>
        <v>Jet Wash Column</v>
      </c>
      <c r="C36" s="10">
        <f>D36/42</f>
        <v>73.28805885681948</v>
      </c>
      <c r="D36" s="36">
        <f>VLOOKUP($A36,$A$19:$H$28,6,FALSE)</f>
        <v>3078.0984719864177</v>
      </c>
      <c r="E36" s="36">
        <f>D36/7.48</f>
        <v>411.5104909072751</v>
      </c>
      <c r="F36" s="10"/>
      <c r="G36" s="19">
        <v>1</v>
      </c>
      <c r="H36" s="10">
        <f>IF(F36&gt;0,F36,E36*12*2.54/G36)</f>
        <v>12542.839762853744</v>
      </c>
      <c r="I36" s="10">
        <f>H36*0.3048^2</f>
        <v>1165.267944201992</v>
      </c>
      <c r="J36" s="37"/>
      <c r="K36" s="37"/>
    </row>
    <row r="37" spans="1:11" ht="12.75">
      <c r="A37" s="34"/>
      <c r="B37" s="35"/>
      <c r="C37" s="12"/>
      <c r="D37" s="39"/>
      <c r="E37" s="12"/>
      <c r="F37" s="12"/>
      <c r="G37" s="40"/>
      <c r="H37" s="12"/>
      <c r="J37" s="41"/>
      <c r="K37" s="37"/>
    </row>
    <row r="38" spans="1:2" ht="12.75">
      <c r="A38" s="5" t="s">
        <v>58</v>
      </c>
      <c r="B38" s="1"/>
    </row>
    <row r="39" spans="1:11" ht="12.75">
      <c r="A39" s="4" t="s">
        <v>18</v>
      </c>
      <c r="B39" s="4" t="s">
        <v>23</v>
      </c>
      <c r="C39" s="4" t="s">
        <v>34</v>
      </c>
      <c r="D39" s="4" t="s">
        <v>0</v>
      </c>
      <c r="E39" s="4" t="s">
        <v>14</v>
      </c>
      <c r="F39" s="4" t="s">
        <v>15</v>
      </c>
      <c r="G39" s="4" t="s">
        <v>16</v>
      </c>
      <c r="H39" s="9" t="s">
        <v>10</v>
      </c>
      <c r="I39" s="4" t="s">
        <v>11</v>
      </c>
      <c r="J39" s="4" t="s">
        <v>9</v>
      </c>
      <c r="K39" s="9" t="s">
        <v>8</v>
      </c>
    </row>
    <row r="40" spans="1:11" ht="26.25">
      <c r="A40" s="19">
        <v>3</v>
      </c>
      <c r="B40" s="21" t="str">
        <f>VLOOKUP($A40,$A$19:$H$28,2,FALSE)</f>
        <v>C-73 Coker Depropanizer</v>
      </c>
      <c r="C40" s="36">
        <f>VLOOKUP($A40,$A$19:$H$28,5,FALSE)</f>
        <v>25.322333126293994</v>
      </c>
      <c r="D40" s="21" t="str">
        <f>VLOOKUP($A40,$A$19:$H$28,4,FALSE)</f>
        <v>Depropanizer Liquid</v>
      </c>
      <c r="E40" s="13">
        <f>VLOOKUP($D40,$B$3:$F$9,2,FALSE)</f>
        <v>48108000</v>
      </c>
      <c r="F40" s="13">
        <f>VLOOKUP($D40,$B$3:$F$9,3,FALSE)</f>
        <v>389676.75</v>
      </c>
      <c r="G40" s="13">
        <f>VLOOKUP($D40,$B$3:$F$9,4,FALSE)</f>
        <v>1828.65</v>
      </c>
      <c r="H40" s="13">
        <f>VLOOKUP($D40,$B$3:$F$9,5,FALSE)</f>
        <v>309</v>
      </c>
      <c r="I40" s="19">
        <v>298</v>
      </c>
      <c r="J40" s="10">
        <f>VLOOKUP(A40,$A$32:$I$37,9,FALSE)</f>
        <v>402.6208842851477</v>
      </c>
      <c r="K40" s="10">
        <f>ROUND(E40*SQRT(0.0001*J40/(5000*PI()*(F40+G40*(H40-I40)))),-1)</f>
        <v>120</v>
      </c>
    </row>
    <row r="41" spans="1:13" ht="26.25">
      <c r="A41" s="19">
        <v>4</v>
      </c>
      <c r="B41" s="21" t="str">
        <f>VLOOKUP($A41,$A$19:$H$28,2,FALSE)</f>
        <v>C-506 Coker Depropanizer</v>
      </c>
      <c r="C41" s="36">
        <f>VLOOKUP($A41,$A$19:$H$28,5,FALSE)</f>
        <v>35.96920559006211</v>
      </c>
      <c r="D41" s="21" t="str">
        <f>VLOOKUP($A41,$A$19:$H$28,4,FALSE)</f>
        <v>Depropanizer Liquid</v>
      </c>
      <c r="E41" s="13">
        <f>VLOOKUP($D41,$B$3:$F$9,2,FALSE)</f>
        <v>48108000</v>
      </c>
      <c r="F41" s="13">
        <f>VLOOKUP($D41,$B$3:$F$9,3,FALSE)</f>
        <v>389676.75</v>
      </c>
      <c r="G41" s="13">
        <f>VLOOKUP($D41,$B$3:$F$9,4,FALSE)</f>
        <v>1828.65</v>
      </c>
      <c r="H41" s="13">
        <f>VLOOKUP($D41,$B$3:$F$9,5,FALSE)</f>
        <v>309</v>
      </c>
      <c r="I41" s="19">
        <v>298</v>
      </c>
      <c r="J41" s="10">
        <f>VLOOKUP(A41,$A$32:$I$37,9,FALSE)</f>
        <v>571.9043853296217</v>
      </c>
      <c r="K41" s="10">
        <f>ROUND(E41*SQRT(0.0001*J41/(5000*PI()*(F41+G41*(H41-I41)))),-1)</f>
        <v>140</v>
      </c>
      <c r="M41" s="42"/>
    </row>
    <row r="42" spans="1:13" ht="26.25">
      <c r="A42" s="19">
        <v>7</v>
      </c>
      <c r="B42" s="21" t="str">
        <f>VLOOKUP($A42,$A$19:$H$28,2,FALSE)</f>
        <v>Old Coker Main Fractionator</v>
      </c>
      <c r="C42" s="36">
        <f>VLOOKUP($A42,$A$19:$H$28,5,FALSE)</f>
        <v>3719.7931358721203</v>
      </c>
      <c r="D42" s="21" t="str">
        <f>VLOOKUP($A42,$A$19:$H$28,4,FALSE)</f>
        <v>Diesel</v>
      </c>
      <c r="E42" s="13">
        <f>VLOOKUP($D42,$B$3:$F$9,2,FALSE)</f>
        <v>48100000</v>
      </c>
      <c r="F42" s="13">
        <f>VLOOKUP($D42,$B$3:$F$9,3,FALSE)</f>
        <v>275218</v>
      </c>
      <c r="G42" s="13">
        <f>VLOOKUP($D42,$B$3:$F$9,4,FALSE)</f>
        <v>2183</v>
      </c>
      <c r="H42" s="13">
        <f>VLOOKUP($D42,$B$3:$F$9,5,FALSE)</f>
        <v>447</v>
      </c>
      <c r="I42" s="19">
        <v>298</v>
      </c>
      <c r="J42" s="10">
        <f>VLOOKUP(A42,$A$32:$I$37,9,FALSE)</f>
        <v>1393.5456000000001</v>
      </c>
      <c r="K42" s="10">
        <f>ROUND(E42*SQRT(0.0001*J42/(5000*PI()*(F42+G42*(H42-I42)))),-1)</f>
        <v>180</v>
      </c>
      <c r="M42" s="42"/>
    </row>
    <row r="43" spans="1:13" ht="26.25">
      <c r="A43" s="19">
        <v>8</v>
      </c>
      <c r="B43" s="21" t="str">
        <f>VLOOKUP($A43,$A$19:$H$28,2,FALSE)</f>
        <v>New Coker Main Fractionator</v>
      </c>
      <c r="C43" s="36">
        <f>VLOOKUP($A43,$A$19:$H$28,5,FALSE)</f>
        <v>9818.396131372154</v>
      </c>
      <c r="D43" s="21" t="str">
        <f>VLOOKUP($A43,$A$19:$H$28,4,FALSE)</f>
        <v>Diesel</v>
      </c>
      <c r="E43" s="13">
        <f>VLOOKUP($D43,$B$3:$F$9,2,FALSE)</f>
        <v>48100000</v>
      </c>
      <c r="F43" s="13">
        <f>VLOOKUP($D43,$B$3:$F$9,3,FALSE)</f>
        <v>275218</v>
      </c>
      <c r="G43" s="13">
        <f>VLOOKUP($D43,$B$3:$F$9,4,FALSE)</f>
        <v>2183</v>
      </c>
      <c r="H43" s="13">
        <f>VLOOKUP($D43,$B$3:$F$9,5,FALSE)</f>
        <v>447</v>
      </c>
      <c r="I43" s="19">
        <v>298</v>
      </c>
      <c r="J43" s="10">
        <f>VLOOKUP(A43,$A$32:$I$37,9,FALSE)</f>
        <v>1393.5456000000001</v>
      </c>
      <c r="K43" s="10">
        <f>ROUND(E43*SQRT(0.0001*J43/(5000*PI()*(F43+G43*(H43-I43)))),-1)</f>
        <v>180</v>
      </c>
      <c r="M43" s="42"/>
    </row>
    <row r="44" spans="1:13" ht="12.75">
      <c r="A44" s="19">
        <v>9</v>
      </c>
      <c r="B44" s="38" t="str">
        <f>VLOOKUP($A44,$A$19:$H$28,2,FALSE)</f>
        <v>Jet Wash Column</v>
      </c>
      <c r="C44" s="36">
        <f>VLOOKUP($A44,$A$19:$H$28,5,FALSE)</f>
        <v>73.28805885681948</v>
      </c>
      <c r="D44" s="21" t="str">
        <f>VLOOKUP($A44,$A$19:$H$28,4,FALSE)</f>
        <v>Gasoline</v>
      </c>
      <c r="E44" s="13">
        <f>VLOOKUP($D44,$B$3:$F$9,2,FALSE)</f>
        <v>47800000</v>
      </c>
      <c r="F44" s="13">
        <f>VLOOKUP($D44,$B$3:$F$9,3,FALSE)</f>
        <v>300513</v>
      </c>
      <c r="G44" s="13">
        <f>VLOOKUP($D44,$B$3:$F$9,4,FALSE)</f>
        <v>2198</v>
      </c>
      <c r="H44" s="13">
        <f>VLOOKUP($D44,$B$3:$F$9,5,FALSE)</f>
        <v>398.7</v>
      </c>
      <c r="I44" s="19">
        <v>298</v>
      </c>
      <c r="J44" s="10">
        <f>VLOOKUP(A44,$A$32:$I$37,9,FALSE)</f>
        <v>1165.267944201992</v>
      </c>
      <c r="K44" s="10">
        <f>ROUND(E44*SQRT(0.0001*J44/(5000*PI()*(F44+G44*(H44-I44)))),-1)</f>
        <v>180</v>
      </c>
      <c r="M44" s="42"/>
    </row>
    <row r="45" spans="1:7" ht="12.75">
      <c r="A45" s="11" t="s">
        <v>53</v>
      </c>
      <c r="B45" s="1"/>
      <c r="C45" s="1"/>
      <c r="D45" s="1"/>
      <c r="G45" s="37"/>
    </row>
    <row r="46" spans="1:7" ht="12.75">
      <c r="A46" s="11" t="s">
        <v>59</v>
      </c>
      <c r="B46" s="1"/>
      <c r="C46" s="1"/>
      <c r="D46" s="1"/>
      <c r="G46" s="37"/>
    </row>
    <row r="47" spans="2:7" ht="12.75">
      <c r="B47" s="1"/>
      <c r="C47" s="1"/>
      <c r="D47" s="1"/>
      <c r="G47" s="37"/>
    </row>
    <row r="48" spans="1:11" ht="12.75">
      <c r="A48" s="1" t="s">
        <v>60</v>
      </c>
      <c r="B48" s="42"/>
      <c r="C48" s="42"/>
      <c r="D48" s="42"/>
      <c r="E48" s="43"/>
      <c r="F48" s="42"/>
      <c r="G48" s="42"/>
      <c r="H48" s="37"/>
      <c r="I48" s="42"/>
      <c r="J48" s="42"/>
      <c r="K48" s="37"/>
    </row>
    <row r="49" spans="1:7" ht="12.75">
      <c r="A49" s="4" t="s">
        <v>18</v>
      </c>
      <c r="B49" s="4" t="s">
        <v>23</v>
      </c>
      <c r="C49" s="4" t="s">
        <v>34</v>
      </c>
      <c r="D49" s="4" t="s">
        <v>0</v>
      </c>
      <c r="E49" s="4" t="s">
        <v>12</v>
      </c>
      <c r="F49" s="4" t="s">
        <v>13</v>
      </c>
      <c r="G49" s="4" t="s">
        <v>8</v>
      </c>
    </row>
    <row r="50" spans="1:7" ht="26.25">
      <c r="A50" s="19">
        <v>1</v>
      </c>
      <c r="B50" s="21" t="str">
        <f>VLOOKUP($A50,$A$19:$H$28,2,FALSE)</f>
        <v>C-73 Coker Depropanizer</v>
      </c>
      <c r="C50" s="36" t="str">
        <f>VLOOKUP($A50,$A$19:$H$28,5,FALSE)</f>
        <v>-</v>
      </c>
      <c r="D50" s="21" t="str">
        <f>VLOOKUP($A50,$A$19:$H$28,4,FALSE)</f>
        <v>Depropanizer Vapor</v>
      </c>
      <c r="E50" s="13">
        <f>VLOOKUP(A50,$A$19:$H$28,8,FALSE)</f>
        <v>1335.44376</v>
      </c>
      <c r="F50" s="13">
        <f>VLOOKUP(D50,$B$3:$G$9,2,FALSE)</f>
        <v>48108000</v>
      </c>
      <c r="G50" s="10">
        <f>ROUND(17*(0.1*E50*F50/4680000)^0.3333,-1)</f>
        <v>190</v>
      </c>
    </row>
    <row r="51" spans="1:7" ht="26.25">
      <c r="A51" s="19">
        <v>2</v>
      </c>
      <c r="B51" s="21" t="str">
        <f>VLOOKUP($A51,$A$19:$H$28,2,FALSE)</f>
        <v>C-506 Coker Depropanizer</v>
      </c>
      <c r="C51" s="36" t="str">
        <f>VLOOKUP($A51,$A$19:$H$28,5,FALSE)</f>
        <v>-</v>
      </c>
      <c r="D51" s="21" t="str">
        <f>VLOOKUP($A51,$A$19:$H$28,4,FALSE)</f>
        <v>Depropanizer Vapor</v>
      </c>
      <c r="E51" s="13">
        <f>VLOOKUP(A51,$A$19:$H$28,8,FALSE)</f>
        <v>1663.8048000000001</v>
      </c>
      <c r="F51" s="13">
        <f>VLOOKUP(D51,$B$3:$G$9,2,FALSE)</f>
        <v>48108000</v>
      </c>
      <c r="G51" s="10">
        <f>ROUND(17*(0.1*E51*F51/4680000)^0.3333,-1)</f>
        <v>200</v>
      </c>
    </row>
    <row r="52" spans="1:7" ht="26.25">
      <c r="A52" s="19">
        <v>5</v>
      </c>
      <c r="B52" s="21" t="str">
        <f>VLOOKUP($A52,$A$19:$H$28,2,FALSE)</f>
        <v>Old Coker Main Fractionator</v>
      </c>
      <c r="C52" s="36" t="str">
        <f>VLOOKUP($A52,$A$19:$H$28,5,FALSE)</f>
        <v>-</v>
      </c>
      <c r="D52" s="21" t="str">
        <f>VLOOKUP($A52,$A$19:$H$28,4,FALSE)</f>
        <v>Diesel</v>
      </c>
      <c r="E52" s="13">
        <f>VLOOKUP(A52,$A$19:$H$28,8,FALSE)</f>
        <v>2297.484</v>
      </c>
      <c r="F52" s="13">
        <f>VLOOKUP(D52,$B$3:$G$9,2,FALSE)</f>
        <v>48100000</v>
      </c>
      <c r="G52" s="10">
        <f>ROUND(17*(0.1*E52*F52/4680000)^0.3333,-1)</f>
        <v>230</v>
      </c>
    </row>
    <row r="53" spans="1:7" ht="26.25">
      <c r="A53" s="19">
        <v>6</v>
      </c>
      <c r="B53" s="21" t="str">
        <f>VLOOKUP($A53,$A$19:$H$28,2,FALSE)</f>
        <v>New Coker Main Fractionator</v>
      </c>
      <c r="C53" s="36" t="str">
        <f>VLOOKUP($A53,$A$19:$H$28,5,FALSE)</f>
        <v>-</v>
      </c>
      <c r="D53" s="21" t="str">
        <f>VLOOKUP($A53,$A$19:$H$28,4,FALSE)</f>
        <v>Diesel</v>
      </c>
      <c r="E53" s="13">
        <f>VLOOKUP(A53,$A$19:$H$28,8,FALSE)</f>
        <v>5596.9704</v>
      </c>
      <c r="F53" s="13">
        <f>VLOOKUP(D53,$B$3:$G$9,2,FALSE)</f>
        <v>48100000</v>
      </c>
      <c r="G53" s="10">
        <f>ROUND(17*(0.1*E53*F53/4680000)^0.3333,-1)</f>
        <v>300</v>
      </c>
    </row>
    <row r="54" spans="1:7" ht="12.75">
      <c r="A54" s="19">
        <v>10</v>
      </c>
      <c r="B54" s="38" t="str">
        <f>VLOOKUP($A54,$A$19:$H$28,2,FALSE)</f>
        <v>Jet Wash Column</v>
      </c>
      <c r="C54" s="36" t="str">
        <f>VLOOKUP($A54,$A$19:$H$28,5,FALSE)</f>
        <v>-</v>
      </c>
      <c r="D54" s="21" t="str">
        <f>VLOOKUP($A54,$A$19:$H$28,4,FALSE)</f>
        <v>Gasoline</v>
      </c>
      <c r="E54" s="13">
        <f>VLOOKUP(A54,$A$19:$H$28,8,FALSE)</f>
        <v>816.48</v>
      </c>
      <c r="F54" s="13">
        <f>VLOOKUP(D54,$B$3:$G$9,2,FALSE)</f>
        <v>47800000</v>
      </c>
      <c r="G54" s="10">
        <f>ROUND(17*(0.1*E54*F54/4680000)^0.3333,-1)</f>
        <v>160</v>
      </c>
    </row>
    <row r="55" spans="1:7" ht="12.75">
      <c r="A55" s="11" t="s">
        <v>54</v>
      </c>
      <c r="G55" s="18"/>
    </row>
    <row r="56" spans="1:7" ht="12.75">
      <c r="A56" s="11" t="s">
        <v>61</v>
      </c>
      <c r="G56" s="18"/>
    </row>
    <row r="64" spans="1:7" ht="12.75">
      <c r="A64" s="1"/>
      <c r="B64" s="1"/>
      <c r="C64" s="1"/>
      <c r="D64" s="18"/>
      <c r="E64" s="18"/>
      <c r="F64" s="18"/>
      <c r="G64" s="18"/>
    </row>
    <row r="65" ht="12.75">
      <c r="H65" s="2"/>
    </row>
    <row r="66" ht="12.75">
      <c r="H66" s="2"/>
    </row>
    <row r="67" ht="12.75">
      <c r="H67" s="2"/>
    </row>
    <row r="68" ht="12.75">
      <c r="H68" s="2"/>
    </row>
    <row r="69" ht="12.75">
      <c r="H69" s="2"/>
    </row>
    <row r="70" ht="12.75">
      <c r="H70" s="2"/>
    </row>
    <row r="71" ht="12.75">
      <c r="H71" s="2"/>
    </row>
    <row r="72" ht="12.75">
      <c r="G72" s="18"/>
    </row>
    <row r="73" ht="12.75">
      <c r="G73" s="18"/>
    </row>
    <row r="74" ht="12.75">
      <c r="G74" s="18"/>
    </row>
  </sheetData>
  <sheetProtection/>
  <mergeCells count="1">
    <mergeCell ref="B10:H10"/>
  </mergeCells>
  <printOptions horizontalCentered="1"/>
  <pageMargins left="0.75" right="0.75" top="1" bottom="1" header="0.5" footer="0.5"/>
  <pageSetup fitToHeight="99" horizontalDpi="600" verticalDpi="600" orientation="landscape" scale="87" r:id="rId1"/>
  <headerFooter alignWithMargins="0">
    <oddFooter>&amp;CC.1-&amp;P&amp;RChevron Heavy Crude Project Final EIR</oddFooter>
  </headerFooter>
  <rowBreaks count="1" manualBreakCount="1">
    <brk id="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jbm</dc:creator>
  <cp:keywords/>
  <dc:description/>
  <cp:lastModifiedBy>dsasaki</cp:lastModifiedBy>
  <cp:lastPrinted>2006-08-09T23:48:25Z</cp:lastPrinted>
  <dcterms:created xsi:type="dcterms:W3CDTF">2000-06-12T17:03:34Z</dcterms:created>
  <dcterms:modified xsi:type="dcterms:W3CDTF">2014-08-06T19:25:55Z</dcterms:modified>
  <cp:category/>
  <cp:version/>
  <cp:contentType/>
  <cp:contentStatus/>
</cp:coreProperties>
</file>