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446" windowWidth="4980" windowHeight="6195" activeTab="0"/>
  </bookViews>
  <sheets>
    <sheet name="Ex 1" sheetId="1" r:id="rId1"/>
  </sheets>
  <definedNames/>
  <calcPr fullCalcOnLoad="1"/>
</workbook>
</file>

<file path=xl/sharedStrings.xml><?xml version="1.0" encoding="utf-8"?>
<sst xmlns="http://schemas.openxmlformats.org/spreadsheetml/2006/main" count="277" uniqueCount="128">
  <si>
    <t>EXAMPLE 1:  MICR, CANCER BURDEN, HIA, &amp; HIC CALCULATION</t>
  </si>
  <si>
    <t>The equipment is a spray booth, operating 8 hr/day, located in an industrial and residential area.</t>
  </si>
  <si>
    <t xml:space="preserve">There are multiple TAC's emitted from this booth.  Some of the TACs are carcinogenic and some </t>
  </si>
  <si>
    <t>have chronic and acute non-cancer risks.</t>
  </si>
  <si>
    <t xml:space="preserve">     The nearest receptor distances:</t>
  </si>
  <si>
    <t xml:space="preserve">           Worker (Industrial) = 328 ft (100 meters)</t>
  </si>
  <si>
    <t xml:space="preserve">           Residential = 492 ft (150 meters)</t>
  </si>
  <si>
    <t xml:space="preserve">     Stack height = 28 ft</t>
  </si>
  <si>
    <t xml:space="preserve">     Pollutants:  Hexavalent chromium, Xylene, Cadmium, Toluene-2,4-diisocyanate, and</t>
  </si>
  <si>
    <t xml:space="preserve">                      Perchloroethylene</t>
  </si>
  <si>
    <t>Emission rates for the TACs are listed in Table A below.</t>
  </si>
  <si>
    <t>Note:  The maximum hourly emissions should be estimated based on the maximum gallons of paint</t>
  </si>
  <si>
    <t>that could be sprayed in any hour.</t>
  </si>
  <si>
    <t>Emission Rate</t>
  </si>
  <si>
    <t>Toxic Air Contaminant</t>
  </si>
  <si>
    <t>Qhr(Max.)</t>
  </si>
  <si>
    <t>Qyr</t>
  </si>
  <si>
    <t>QYR (tons/yr)</t>
  </si>
  <si>
    <t>(lbs/hr)</t>
  </si>
  <si>
    <t>(lbs/yr)</t>
  </si>
  <si>
    <t>Cadmium</t>
  </si>
  <si>
    <t>Hexavalent chromium</t>
  </si>
  <si>
    <t>Perchloroethylene</t>
  </si>
  <si>
    <t>Toluene-2,4-diisocyanate</t>
  </si>
  <si>
    <t>Xylene</t>
  </si>
  <si>
    <t>For Carcinogenic and/or Chronic Compounds</t>
  </si>
  <si>
    <t>TAC</t>
  </si>
  <si>
    <t>PSL</t>
  </si>
  <si>
    <t>PSI</t>
  </si>
  <si>
    <t>Total PSI =</t>
  </si>
  <si>
    <t>For Acute Compounds</t>
  </si>
  <si>
    <t>Qhr</t>
  </si>
  <si>
    <t>Tier 2 Screening:</t>
  </si>
  <si>
    <t>Worker</t>
  </si>
  <si>
    <t>CP</t>
  </si>
  <si>
    <t>X/Q (chronic</t>
  </si>
  <si>
    <t>(X/Q)hr</t>
  </si>
  <si>
    <t>MPw</t>
  </si>
  <si>
    <t xml:space="preserve">                 REL ug/m3</t>
  </si>
  <si>
    <t>&amp;</t>
  </si>
  <si>
    <t>for acute</t>
  </si>
  <si>
    <t>for</t>
  </si>
  <si>
    <t>carcinogenic)</t>
  </si>
  <si>
    <t>MICR</t>
  </si>
  <si>
    <t>HIC</t>
  </si>
  <si>
    <t>(mg/kg-d)^-1</t>
  </si>
  <si>
    <t>Acute</t>
  </si>
  <si>
    <t>Chronic</t>
  </si>
  <si>
    <t>(ug/n3)/(tons/yr)</t>
  </si>
  <si>
    <t>(ug/n3)/(lbs/hr)</t>
  </si>
  <si>
    <t>n/a</t>
  </si>
  <si>
    <t>Resident</t>
  </si>
  <si>
    <t>MPr</t>
  </si>
  <si>
    <t>MICR Calculation</t>
  </si>
  <si>
    <t xml:space="preserve">         MICR = Sum(CP*Qyr*(X/Q)*AF*MET*DBR*EVF*10^-6*MP)</t>
  </si>
  <si>
    <t>X/Q</t>
  </si>
  <si>
    <t>AF</t>
  </si>
  <si>
    <t>MET</t>
  </si>
  <si>
    <t>DBR</t>
  </si>
  <si>
    <t>EVF</t>
  </si>
  <si>
    <t>(tons/yr)</t>
  </si>
  <si>
    <t>Total</t>
  </si>
  <si>
    <t>Cancer Burden Calculation</t>
  </si>
  <si>
    <t xml:space="preserve">                                 F = ( 1 / MICR ) * 1 * 10^-6</t>
  </si>
  <si>
    <t xml:space="preserve">                                 F = ( 1 / 1.22) * 1 * 10^-6</t>
  </si>
  <si>
    <t xml:space="preserve">                                 F =</t>
  </si>
  <si>
    <t>New X/Q</t>
  </si>
  <si>
    <t xml:space="preserve">                       New X/Q = Old X/Q * F</t>
  </si>
  <si>
    <t xml:space="preserve">                       New X/Q = 4.19 * 0.821</t>
  </si>
  <si>
    <t xml:space="preserve">                       New X/Q = </t>
  </si>
  <si>
    <t>New downwind distance</t>
  </si>
  <si>
    <t>New downwind distance = (200 m - 100 m) * (4.19 -3.44) / (4.19 - 1.12) + 100 m</t>
  </si>
  <si>
    <t xml:space="preserve">New downwind distance = </t>
  </si>
  <si>
    <t>m</t>
  </si>
  <si>
    <t>km</t>
  </si>
  <si>
    <t>Zone of Impact</t>
  </si>
  <si>
    <t xml:space="preserve">                               ZI = 3.14 * r ^ 2</t>
  </si>
  <si>
    <t xml:space="preserve">                               ZI = 3.14 * (0.1244 km) ^ 2</t>
  </si>
  <si>
    <t xml:space="preserve">                               ZI = </t>
  </si>
  <si>
    <t>km^2</t>
  </si>
  <si>
    <t>Zone of Impact Population</t>
  </si>
  <si>
    <t xml:space="preserve">                          ZI Pop = ZI * Population Density</t>
  </si>
  <si>
    <t xml:space="preserve">                          ZI Pop = .05 km^2 * 7,000 persons/km^2</t>
  </si>
  <si>
    <t xml:space="preserve">                          ZI Pop = </t>
  </si>
  <si>
    <t>persons</t>
  </si>
  <si>
    <t>Cancer Burden</t>
  </si>
  <si>
    <t xml:space="preserve">                              CB = ZI Pop * MICR</t>
  </si>
  <si>
    <t xml:space="preserve">                              CB = 340 persons * 1.22 * 10^-6</t>
  </si>
  <si>
    <t xml:space="preserve">                              CB = </t>
  </si>
  <si>
    <t>Acute Hazard Index:</t>
  </si>
  <si>
    <t>Perchloroethlene</t>
  </si>
  <si>
    <t>Worker:</t>
  </si>
  <si>
    <t xml:space="preserve">                Worker: HIA = (Qhr * X/Q)hr)/REL</t>
  </si>
  <si>
    <t xml:space="preserve">                       HIA</t>
  </si>
  <si>
    <t xml:space="preserve">                             HIA = (3.8*10^-4 * 295.2)/20,000</t>
  </si>
  <si>
    <t>NS</t>
  </si>
  <si>
    <t>EYE</t>
  </si>
  <si>
    <t>RESP</t>
  </si>
  <si>
    <t xml:space="preserve">                             HIA = </t>
  </si>
  <si>
    <t xml:space="preserve">              Resident: HIA = (Qhr * X/Q)hr)/REL</t>
  </si>
  <si>
    <t xml:space="preserve">                             HIA = (3.8*10^-4 * 202.4)/20,000</t>
  </si>
  <si>
    <t>Resident:</t>
  </si>
  <si>
    <t xml:space="preserve">                             HIA = (0.04 * 295.2)/22,000</t>
  </si>
  <si>
    <t xml:space="preserve">                             HIA = (0.04 * 202.4)/22,000</t>
  </si>
  <si>
    <t>Chronic Hazard Index:</t>
  </si>
  <si>
    <t xml:space="preserve">                Worker: HIC= (QYR) * (X/Q)chronic * MET * MP])/(Chronic REL)</t>
  </si>
  <si>
    <t xml:space="preserve">                              HIC</t>
  </si>
  <si>
    <t xml:space="preserve">                            HIC= (2.81*10^-6) * 4.19 * 0.86 * 1.12)/(2*10^-2)</t>
  </si>
  <si>
    <t>KIDNEYS</t>
  </si>
  <si>
    <t>AL</t>
  </si>
  <si>
    <t xml:space="preserve">                            HIC=</t>
  </si>
  <si>
    <t>Hexavalent Chromium</t>
  </si>
  <si>
    <t xml:space="preserve">              Resident: HIC= (QYR) * (X/Q)chronic * MET * MP])/(Chronic REL)</t>
  </si>
  <si>
    <t xml:space="preserve">                            HIC= (2.81*10^-6) * 2.66 * 0.86 * 1.5)/(2*10^-2)</t>
  </si>
  <si>
    <t xml:space="preserve">                            HIC= (2.60*10^-6) * 4.19 * 0.86 * 1)/(2*10^-1)</t>
  </si>
  <si>
    <t xml:space="preserve">                            HIC= (2.60*10^-6) * 2.66 * 0.86 * 1)/(2*10^-1)</t>
  </si>
  <si>
    <t xml:space="preserve">                            HIC= (3.95*10^-4) * 4.19 * 0.86 * 1)/35</t>
  </si>
  <si>
    <t xml:space="preserve">                            HIC= (3.95*10^-4) * 2.66 * 0.86 * 1)/35</t>
  </si>
  <si>
    <t>Toluene 2,4-diisocyanate</t>
  </si>
  <si>
    <t xml:space="preserve">                            HIC= (1.14*10^-3) * 4.19 * 0.86 * 1)/(7*10^-2)</t>
  </si>
  <si>
    <t xml:space="preserve">                            HIC= (1.14*10^-3) * 2.66 * 0.86 * 1)/(7*10^-2)</t>
  </si>
  <si>
    <t xml:space="preserve">                            HIC= (4.16*10^-2) * 4.19 * 0.86 * 1)/(7*10^2)</t>
  </si>
  <si>
    <t xml:space="preserve">                            HIC= (4.16*10^-2) * 2.66 * 0.86 * 1)/(7*10^2)</t>
  </si>
  <si>
    <r>
      <t xml:space="preserve">                  </t>
    </r>
    <r>
      <rPr>
        <u val="single"/>
        <sz val="10"/>
        <rFont val="Arial"/>
        <family val="2"/>
      </rPr>
      <t>Table A</t>
    </r>
  </si>
  <si>
    <t xml:space="preserve">Tier 1 Screening </t>
  </si>
  <si>
    <t xml:space="preserve">     Plant location:  Ontario, CA (Pomona was selected as the closest station)</t>
  </si>
  <si>
    <t xml:space="preserve">     The application was deemed complete on July 30, 2005.</t>
  </si>
  <si>
    <t xml:space="preserve">     Operating Schedule:  8 hr/day, 5 days/wk;52 weeks/year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</si>
</sst>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.000000"/>
    <numFmt numFmtId="171" formatCode="0.0000000"/>
    <numFmt numFmtId="172" formatCode="0.00000000"/>
    <numFmt numFmtId="173" formatCode="0.000E+00"/>
    <numFmt numFmtId="174" formatCode="0.0E+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5" xfId="0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1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1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1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11" fontId="0" fillId="0" borderId="18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1" fontId="0" fillId="0" borderId="19" xfId="0" applyNumberForma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69" fontId="0" fillId="0" borderId="13" xfId="15" applyNumberFormat="1" applyBorder="1" applyAlignment="1">
      <alignment horizontal="center"/>
    </xf>
    <xf numFmtId="169" fontId="0" fillId="0" borderId="18" xfId="15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169" fontId="0" fillId="0" borderId="13" xfId="15" applyNumberFormat="1" applyBorder="1" applyAlignment="1">
      <alignment/>
    </xf>
    <xf numFmtId="169" fontId="0" fillId="0" borderId="18" xfId="15" applyNumberFormat="1" applyBorder="1" applyAlignment="1">
      <alignment/>
    </xf>
    <xf numFmtId="11" fontId="0" fillId="0" borderId="19" xfId="0" applyNumberFormat="1" applyBorder="1" applyAlignment="1">
      <alignment/>
    </xf>
    <xf numFmtId="0" fontId="7" fillId="0" borderId="17" xfId="0" applyFont="1" applyBorder="1" applyAlignment="1">
      <alignment/>
    </xf>
    <xf numFmtId="11" fontId="0" fillId="0" borderId="14" xfId="0" applyNumberFormat="1" applyBorder="1" applyAlignment="1">
      <alignment/>
    </xf>
    <xf numFmtId="0" fontId="0" fillId="0" borderId="0" xfId="0" applyAlignment="1" quotePrefix="1">
      <alignment/>
    </xf>
    <xf numFmtId="164" fontId="7" fillId="0" borderId="0" xfId="0" applyNumberFormat="1" applyFont="1" applyAlignment="1" quotePrefix="1">
      <alignment horizontal="center"/>
    </xf>
    <xf numFmtId="2" fontId="7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169" fontId="7" fillId="0" borderId="0" xfId="15" applyNumberFormat="1" applyFont="1" applyAlignment="1">
      <alignment/>
    </xf>
    <xf numFmtId="174" fontId="0" fillId="0" borderId="0" xfId="0" applyNumberFormat="1" applyAlignment="1">
      <alignment/>
    </xf>
    <xf numFmtId="0" fontId="7" fillId="0" borderId="28" xfId="0" applyFont="1" applyBorder="1" applyAlignment="1">
      <alignment/>
    </xf>
    <xf numFmtId="0" fontId="0" fillId="0" borderId="22" xfId="0" applyBorder="1" applyAlignment="1">
      <alignment/>
    </xf>
    <xf numFmtId="0" fontId="0" fillId="0" borderId="8" xfId="0" applyBorder="1" applyAlignment="1">
      <alignment/>
    </xf>
    <xf numFmtId="0" fontId="0" fillId="0" borderId="24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11" fontId="7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1" fontId="0" fillId="0" borderId="21" xfId="0" applyNumberFormat="1" applyBorder="1" applyAlignment="1">
      <alignment horizontal="left"/>
    </xf>
    <xf numFmtId="11" fontId="0" fillId="0" borderId="7" xfId="0" applyNumberFormat="1" applyBorder="1" applyAlignment="1">
      <alignment horizontal="left"/>
    </xf>
    <xf numFmtId="11" fontId="0" fillId="0" borderId="8" xfId="0" applyNumberFormat="1" applyBorder="1" applyAlignment="1">
      <alignment horizontal="left"/>
    </xf>
    <xf numFmtId="0" fontId="0" fillId="0" borderId="5" xfId="0" applyFont="1" applyBorder="1" applyAlignment="1">
      <alignment/>
    </xf>
    <xf numFmtId="11" fontId="0" fillId="0" borderId="15" xfId="0" applyNumberFormat="1" applyBorder="1" applyAlignment="1">
      <alignment/>
    </xf>
    <xf numFmtId="11" fontId="0" fillId="0" borderId="10" xfId="0" applyNumberFormat="1" applyBorder="1" applyAlignment="1">
      <alignment horizontal="left"/>
    </xf>
    <xf numFmtId="11" fontId="0" fillId="0" borderId="11" xfId="0" applyNumberFormat="1" applyBorder="1" applyAlignment="1">
      <alignment horizontal="left"/>
    </xf>
    <xf numFmtId="0" fontId="0" fillId="0" borderId="12" xfId="0" applyFont="1" applyFill="1" applyBorder="1" applyAlignment="1">
      <alignment/>
    </xf>
    <xf numFmtId="11" fontId="0" fillId="0" borderId="12" xfId="0" applyNumberFormat="1" applyBorder="1" applyAlignment="1">
      <alignment horizontal="left"/>
    </xf>
    <xf numFmtId="11" fontId="0" fillId="0" borderId="13" xfId="0" applyNumberFormat="1" applyBorder="1" applyAlignment="1">
      <alignment horizontal="left"/>
    </xf>
    <xf numFmtId="11" fontId="0" fillId="0" borderId="14" xfId="0" applyNumberFormat="1" applyBorder="1" applyAlignment="1">
      <alignment horizontal="left"/>
    </xf>
    <xf numFmtId="165" fontId="0" fillId="0" borderId="0" xfId="0" applyNumberFormat="1" applyAlignment="1">
      <alignment/>
    </xf>
    <xf numFmtId="0" fontId="0" fillId="0" borderId="24" xfId="0" applyFont="1" applyBorder="1" applyAlignment="1">
      <alignment/>
    </xf>
    <xf numFmtId="11" fontId="0" fillId="0" borderId="25" xfId="0" applyNumberFormat="1" applyBorder="1" applyAlignment="1">
      <alignment horizontal="left"/>
    </xf>
    <xf numFmtId="11" fontId="0" fillId="0" borderId="27" xfId="0" applyNumberFormat="1" applyBorder="1" applyAlignment="1">
      <alignment horizontal="left"/>
    </xf>
    <xf numFmtId="0" fontId="0" fillId="0" borderId="17" xfId="0" applyFont="1" applyFill="1" applyBorder="1" applyAlignment="1">
      <alignment/>
    </xf>
    <xf numFmtId="11" fontId="0" fillId="0" borderId="17" xfId="0" applyNumberFormat="1" applyBorder="1" applyAlignment="1">
      <alignment horizontal="left"/>
    </xf>
    <xf numFmtId="11" fontId="0" fillId="0" borderId="29" xfId="0" applyNumberFormat="1" applyBorder="1" applyAlignment="1">
      <alignment horizontal="left"/>
    </xf>
    <xf numFmtId="11" fontId="0" fillId="0" borderId="0" xfId="0" applyNumberFormat="1" applyAlignment="1">
      <alignment/>
    </xf>
    <xf numFmtId="11" fontId="7" fillId="0" borderId="28" xfId="0" applyNumberFormat="1" applyFont="1" applyBorder="1" applyAlignment="1">
      <alignment/>
    </xf>
    <xf numFmtId="11" fontId="0" fillId="0" borderId="22" xfId="0" applyNumberFormat="1" applyBorder="1" applyAlignment="1">
      <alignment/>
    </xf>
    <xf numFmtId="11" fontId="0" fillId="0" borderId="8" xfId="0" applyNumberFormat="1" applyBorder="1" applyAlignment="1">
      <alignment/>
    </xf>
    <xf numFmtId="11" fontId="0" fillId="0" borderId="2" xfId="0" applyNumberFormat="1" applyBorder="1" applyAlignment="1">
      <alignment/>
    </xf>
    <xf numFmtId="11" fontId="0" fillId="0" borderId="4" xfId="0" applyNumberFormat="1" applyBorder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7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workbookViewId="0" topLeftCell="A41">
      <pane xSplit="1" topLeftCell="B1" activePane="topRight" state="frozen"/>
      <selection pane="topLeft" activeCell="A1" sqref="A1"/>
      <selection pane="topRight" activeCell="B4" sqref="B4"/>
    </sheetView>
  </sheetViews>
  <sheetFormatPr defaultColWidth="9.140625" defaultRowHeight="12.75"/>
  <cols>
    <col min="1" max="1" width="62.421875" style="0" customWidth="1"/>
    <col min="2" max="2" width="17.8515625" style="0" bestFit="1" customWidth="1"/>
    <col min="3" max="3" width="20.7109375" style="0" bestFit="1" customWidth="1"/>
    <col min="4" max="4" width="12.57421875" style="0" bestFit="1" customWidth="1"/>
    <col min="5" max="5" width="15.00390625" style="0" bestFit="1" customWidth="1"/>
    <col min="6" max="6" width="22.00390625" style="0" bestFit="1" customWidth="1"/>
    <col min="7" max="7" width="8.8515625" style="0" customWidth="1"/>
    <col min="9" max="9" width="8.28125" style="0" customWidth="1"/>
    <col min="10" max="10" width="9.57421875" style="0" bestFit="1" customWidth="1"/>
  </cols>
  <sheetData>
    <row r="1" spans="1:2" ht="12.75">
      <c r="A1" s="108" t="s">
        <v>0</v>
      </c>
      <c r="B1" s="109"/>
    </row>
    <row r="2" spans="1:2" ht="12.75">
      <c r="A2" s="109"/>
      <c r="B2" s="109"/>
    </row>
    <row r="3" spans="1:2" ht="12.75">
      <c r="A3" s="109" t="s">
        <v>1</v>
      </c>
      <c r="B3" s="109"/>
    </row>
    <row r="4" spans="1:2" ht="12.75">
      <c r="A4" s="109" t="s">
        <v>2</v>
      </c>
      <c r="B4" s="109"/>
    </row>
    <row r="5" spans="1:2" ht="12.75">
      <c r="A5" s="109" t="s">
        <v>3</v>
      </c>
      <c r="B5" s="109"/>
    </row>
    <row r="6" spans="1:2" ht="12.75">
      <c r="A6" s="109"/>
      <c r="B6" s="109"/>
    </row>
    <row r="7" spans="1:2" ht="12.75">
      <c r="A7" s="109" t="s">
        <v>126</v>
      </c>
      <c r="B7" s="109"/>
    </row>
    <row r="8" spans="1:2" ht="12.75">
      <c r="A8" s="109" t="s">
        <v>4</v>
      </c>
      <c r="B8" s="109"/>
    </row>
    <row r="9" spans="1:2" ht="12.75">
      <c r="A9" s="109" t="s">
        <v>5</v>
      </c>
      <c r="B9" s="109"/>
    </row>
    <row r="10" spans="1:2" ht="12.75">
      <c r="A10" s="109" t="s">
        <v>6</v>
      </c>
      <c r="B10" s="109"/>
    </row>
    <row r="11" spans="1:2" ht="12.75">
      <c r="A11" s="109" t="s">
        <v>127</v>
      </c>
      <c r="B11" s="109"/>
    </row>
    <row r="12" spans="1:2" ht="12.75">
      <c r="A12" s="109" t="s">
        <v>7</v>
      </c>
      <c r="B12" s="109"/>
    </row>
    <row r="13" spans="1:2" ht="12.75">
      <c r="A13" s="109" t="s">
        <v>125</v>
      </c>
      <c r="B13" s="109"/>
    </row>
    <row r="14" spans="1:2" ht="12.75">
      <c r="A14" s="109" t="s">
        <v>8</v>
      </c>
      <c r="B14" s="109"/>
    </row>
    <row r="15" spans="1:2" ht="12.75">
      <c r="A15" s="109" t="s">
        <v>9</v>
      </c>
      <c r="B15" s="109"/>
    </row>
    <row r="16" spans="1:2" ht="12.75">
      <c r="A16" s="109"/>
      <c r="B16" s="109"/>
    </row>
    <row r="17" spans="1:2" ht="12.75">
      <c r="A17" s="109" t="s">
        <v>10</v>
      </c>
      <c r="B17" s="109"/>
    </row>
    <row r="18" spans="1:2" ht="12.75">
      <c r="A18" s="110" t="s">
        <v>11</v>
      </c>
      <c r="B18" s="109"/>
    </row>
    <row r="19" spans="1:2" ht="12.75">
      <c r="A19" s="110" t="s">
        <v>12</v>
      </c>
      <c r="B19" s="109"/>
    </row>
    <row r="20" spans="1:2" ht="12.75">
      <c r="A20" s="109"/>
      <c r="B20" s="109"/>
    </row>
    <row r="21" spans="1:2" ht="12.75">
      <c r="A21" s="109"/>
      <c r="B21" s="109" t="s">
        <v>123</v>
      </c>
    </row>
    <row r="22" ht="13.5" thickBot="1"/>
    <row r="23" spans="1:4" ht="13.5" thickBot="1">
      <c r="A23" s="2"/>
      <c r="B23" s="3"/>
      <c r="C23" s="4" t="s">
        <v>13</v>
      </c>
      <c r="D23" s="5"/>
    </row>
    <row r="24" spans="1:4" ht="12.75">
      <c r="A24" s="6" t="s">
        <v>14</v>
      </c>
      <c r="B24" s="7" t="s">
        <v>15</v>
      </c>
      <c r="C24" s="8" t="s">
        <v>16</v>
      </c>
      <c r="D24" s="9" t="s">
        <v>17</v>
      </c>
    </row>
    <row r="25" spans="1:4" ht="12.75">
      <c r="A25" s="10"/>
      <c r="B25" s="11" t="s">
        <v>18</v>
      </c>
      <c r="C25" s="12" t="s">
        <v>19</v>
      </c>
      <c r="D25" s="13"/>
    </row>
    <row r="26" spans="1:4" ht="12.75">
      <c r="A26" s="14" t="s">
        <v>20</v>
      </c>
      <c r="B26" s="15">
        <f>2.7*10^-6</f>
        <v>2.7E-06</v>
      </c>
      <c r="C26" s="16">
        <f>B26*8*5*52</f>
        <v>0.0056159999999999995</v>
      </c>
      <c r="D26" s="17">
        <f>C26/2000</f>
        <v>2.8079999999999996E-06</v>
      </c>
    </row>
    <row r="27" spans="1:4" ht="12.75">
      <c r="A27" s="18" t="s">
        <v>21</v>
      </c>
      <c r="B27" s="19">
        <f>2.5*10^-6</f>
        <v>2.4999999999999998E-06</v>
      </c>
      <c r="C27" s="20">
        <f>B27*8*5*52</f>
        <v>0.0052</v>
      </c>
      <c r="D27" s="21">
        <f>C27/2000</f>
        <v>2.5999999999999997E-06</v>
      </c>
    </row>
    <row r="28" spans="1:4" ht="12.75">
      <c r="A28" s="14" t="s">
        <v>22</v>
      </c>
      <c r="B28" s="15">
        <f>3.8*10^-4</f>
        <v>0.00038</v>
      </c>
      <c r="C28" s="16">
        <f>B28*8*5*52</f>
        <v>0.7904000000000001</v>
      </c>
      <c r="D28" s="17">
        <f>C28/2000</f>
        <v>0.00039520000000000007</v>
      </c>
    </row>
    <row r="29" spans="1:4" ht="12.75">
      <c r="A29" s="14" t="s">
        <v>23</v>
      </c>
      <c r="B29" s="15">
        <f>1.1*10^-3</f>
        <v>0.0011</v>
      </c>
      <c r="C29" s="16">
        <f>B29*8*5*52</f>
        <v>2.2880000000000003</v>
      </c>
      <c r="D29" s="17">
        <f>C29/2000</f>
        <v>0.001144</v>
      </c>
    </row>
    <row r="30" spans="1:4" ht="12.75">
      <c r="A30" s="22" t="s">
        <v>24</v>
      </c>
      <c r="B30" s="23">
        <f>0.04</f>
        <v>0.04</v>
      </c>
      <c r="C30" s="24">
        <f>B30*8*5*52</f>
        <v>83.2</v>
      </c>
      <c r="D30" s="25">
        <f>C30/2000</f>
        <v>0.0416</v>
      </c>
    </row>
    <row r="31" spans="1:4" ht="12.75">
      <c r="A31" s="109"/>
      <c r="B31" s="111"/>
      <c r="C31" s="112"/>
      <c r="D31" s="111"/>
    </row>
    <row r="32" ht="12.75">
      <c r="A32" s="113" t="s">
        <v>124</v>
      </c>
    </row>
    <row r="33" ht="13.5" thickBot="1">
      <c r="A33" s="26" t="s">
        <v>25</v>
      </c>
    </row>
    <row r="34" spans="1:4" ht="13.5" thickBot="1">
      <c r="A34" s="27" t="s">
        <v>26</v>
      </c>
      <c r="B34" s="28" t="s">
        <v>16</v>
      </c>
      <c r="C34" s="28" t="s">
        <v>27</v>
      </c>
      <c r="D34" s="29" t="s">
        <v>28</v>
      </c>
    </row>
    <row r="35" spans="1:4" ht="12.75">
      <c r="A35" s="22" t="s">
        <v>20</v>
      </c>
      <c r="B35" s="24">
        <f>C26</f>
        <v>0.0056159999999999995</v>
      </c>
      <c r="C35" s="24">
        <v>0.0595</v>
      </c>
      <c r="D35" s="30">
        <f>B35/C35</f>
        <v>0.09438655462184874</v>
      </c>
    </row>
    <row r="36" spans="1:4" ht="12.75">
      <c r="A36" s="18" t="s">
        <v>21</v>
      </c>
      <c r="B36" s="16">
        <f>C27</f>
        <v>0.0052</v>
      </c>
      <c r="C36" s="31">
        <v>0.00175</v>
      </c>
      <c r="D36" s="32">
        <f>B36/C36</f>
        <v>2.971428571428571</v>
      </c>
    </row>
    <row r="37" spans="1:4" ht="12.75">
      <c r="A37" s="14" t="s">
        <v>22</v>
      </c>
      <c r="B37" s="16">
        <f>C28</f>
        <v>0.7904000000000001</v>
      </c>
      <c r="C37" s="33">
        <v>42.5</v>
      </c>
      <c r="D37" s="32">
        <f>B37/C37</f>
        <v>0.01859764705882353</v>
      </c>
    </row>
    <row r="38" spans="1:4" ht="12.75">
      <c r="A38" s="14" t="s">
        <v>23</v>
      </c>
      <c r="B38" s="16">
        <f>C29</f>
        <v>2.2880000000000003</v>
      </c>
      <c r="C38" s="33">
        <v>18.1</v>
      </c>
      <c r="D38" s="32">
        <f>B38/C38</f>
        <v>0.12640883977900552</v>
      </c>
    </row>
    <row r="39" spans="1:4" ht="12.75">
      <c r="A39" s="22" t="s">
        <v>24</v>
      </c>
      <c r="B39" s="33">
        <f>C30</f>
        <v>83.2</v>
      </c>
      <c r="C39" s="34">
        <v>181000</v>
      </c>
      <c r="D39" s="32">
        <f>B39/C39</f>
        <v>0.00045966850828729283</v>
      </c>
    </row>
    <row r="40" spans="3:4" ht="12.75">
      <c r="C40" s="14" t="s">
        <v>29</v>
      </c>
      <c r="D40" s="32">
        <f>SUM(D35:D39)</f>
        <v>3.211281281396536</v>
      </c>
    </row>
    <row r="42" ht="13.5" thickBot="1">
      <c r="A42" s="26" t="s">
        <v>30</v>
      </c>
    </row>
    <row r="43" spans="1:4" ht="13.5" thickBot="1">
      <c r="A43" s="27" t="s">
        <v>26</v>
      </c>
      <c r="B43" s="28" t="s">
        <v>31</v>
      </c>
      <c r="C43" s="28" t="s">
        <v>27</v>
      </c>
      <c r="D43" s="29" t="s">
        <v>28</v>
      </c>
    </row>
    <row r="44" spans="1:4" ht="12.75">
      <c r="A44" s="14" t="s">
        <v>22</v>
      </c>
      <c r="B44" s="15">
        <f>B28</f>
        <v>0.00038</v>
      </c>
      <c r="C44" s="33">
        <v>53.5</v>
      </c>
      <c r="D44" s="35">
        <f>B44/C44</f>
        <v>7.1028037383177574E-06</v>
      </c>
    </row>
    <row r="45" spans="1:4" ht="12.75">
      <c r="A45" s="22" t="s">
        <v>24</v>
      </c>
      <c r="B45" s="36">
        <f>B30</f>
        <v>0.04</v>
      </c>
      <c r="C45" s="34">
        <v>58.9</v>
      </c>
      <c r="D45" s="35">
        <f>B45/C45</f>
        <v>0.0006791171477079797</v>
      </c>
    </row>
    <row r="46" spans="3:4" ht="12.75">
      <c r="C46" s="14" t="s">
        <v>29</v>
      </c>
      <c r="D46" s="35">
        <f>SUM(D44:D45)</f>
        <v>0.0006862199514462975</v>
      </c>
    </row>
    <row r="47" ht="12.75">
      <c r="A47" s="37" t="s">
        <v>32</v>
      </c>
    </row>
    <row r="48" ht="12.75">
      <c r="A48" s="37"/>
    </row>
    <row r="49" ht="13.5" thickBot="1">
      <c r="A49" s="26" t="s">
        <v>33</v>
      </c>
    </row>
    <row r="50" spans="1:8" ht="12.75">
      <c r="A50" s="38" t="s">
        <v>26</v>
      </c>
      <c r="B50" s="39" t="s">
        <v>34</v>
      </c>
      <c r="C50" s="40"/>
      <c r="D50" s="41"/>
      <c r="E50" s="42" t="s">
        <v>35</v>
      </c>
      <c r="F50" s="42" t="s">
        <v>36</v>
      </c>
      <c r="G50" s="42" t="s">
        <v>37</v>
      </c>
      <c r="H50" s="9" t="s">
        <v>37</v>
      </c>
    </row>
    <row r="51" spans="1:8" ht="12.75">
      <c r="A51" s="43"/>
      <c r="B51" s="44"/>
      <c r="C51" s="45" t="s">
        <v>38</v>
      </c>
      <c r="D51" s="46"/>
      <c r="E51" s="47" t="s">
        <v>39</v>
      </c>
      <c r="F51" s="12" t="s">
        <v>40</v>
      </c>
      <c r="G51" s="47" t="s">
        <v>41</v>
      </c>
      <c r="H51" s="13" t="s">
        <v>41</v>
      </c>
    </row>
    <row r="52" spans="1:8" ht="12.75">
      <c r="A52" s="43"/>
      <c r="B52" s="48"/>
      <c r="C52" s="45"/>
      <c r="D52" s="46"/>
      <c r="E52" s="47" t="s">
        <v>42</v>
      </c>
      <c r="F52" s="12"/>
      <c r="G52" s="47" t="s">
        <v>43</v>
      </c>
      <c r="H52" s="13" t="s">
        <v>44</v>
      </c>
    </row>
    <row r="53" spans="1:8" ht="13.5" thickBot="1">
      <c r="A53" s="49"/>
      <c r="B53" s="50" t="s">
        <v>45</v>
      </c>
      <c r="C53" s="51" t="s">
        <v>46</v>
      </c>
      <c r="D53" s="51" t="s">
        <v>47</v>
      </c>
      <c r="E53" s="52" t="s">
        <v>48</v>
      </c>
      <c r="F53" s="52" t="s">
        <v>49</v>
      </c>
      <c r="G53" s="51"/>
      <c r="H53" s="53"/>
    </row>
    <row r="54" spans="1:8" ht="12.75">
      <c r="A54" s="22" t="s">
        <v>20</v>
      </c>
      <c r="B54" s="23">
        <f>1.5*10^1</f>
        <v>15</v>
      </c>
      <c r="C54" s="24" t="s">
        <v>50</v>
      </c>
      <c r="D54" s="23">
        <f>2*10^-2</f>
        <v>0.02</v>
      </c>
      <c r="E54" s="54">
        <v>4.19</v>
      </c>
      <c r="F54" s="23" t="s">
        <v>50</v>
      </c>
      <c r="G54" s="34">
        <v>1</v>
      </c>
      <c r="H54" s="55">
        <v>1.12</v>
      </c>
    </row>
    <row r="55" spans="1:8" ht="12.75">
      <c r="A55" s="18" t="s">
        <v>21</v>
      </c>
      <c r="B55" s="15">
        <f>5.1*10^2</f>
        <v>509.99999999999994</v>
      </c>
      <c r="C55" s="31" t="s">
        <v>50</v>
      </c>
      <c r="D55" s="15">
        <f>2*10^-1</f>
        <v>0.2</v>
      </c>
      <c r="E55" s="36">
        <v>4.19</v>
      </c>
      <c r="F55" s="15" t="s">
        <v>50</v>
      </c>
      <c r="G55" s="56">
        <v>1</v>
      </c>
      <c r="H55" s="57">
        <v>1</v>
      </c>
    </row>
    <row r="56" spans="1:8" ht="12.75">
      <c r="A56" s="14" t="s">
        <v>22</v>
      </c>
      <c r="B56" s="15">
        <f>2.1*10^-2</f>
        <v>0.021</v>
      </c>
      <c r="C56" s="58">
        <v>20000</v>
      </c>
      <c r="D56" s="56">
        <v>35</v>
      </c>
      <c r="E56" s="36">
        <v>4.19</v>
      </c>
      <c r="F56" s="33">
        <v>295.2</v>
      </c>
      <c r="G56" s="56">
        <v>1</v>
      </c>
      <c r="H56" s="57">
        <v>1</v>
      </c>
    </row>
    <row r="57" spans="1:8" ht="12.75">
      <c r="A57" s="14" t="s">
        <v>23</v>
      </c>
      <c r="B57" s="15">
        <f>3.9*10^-2</f>
        <v>0.039</v>
      </c>
      <c r="C57" s="33" t="s">
        <v>50</v>
      </c>
      <c r="D57" s="15">
        <f>7*10^-2</f>
        <v>0.07</v>
      </c>
      <c r="E57" s="36">
        <v>4.19</v>
      </c>
      <c r="F57" s="15" t="s">
        <v>50</v>
      </c>
      <c r="G57" s="56">
        <v>1</v>
      </c>
      <c r="H57" s="57">
        <v>1</v>
      </c>
    </row>
    <row r="58" spans="1:8" ht="12.75">
      <c r="A58" s="22" t="s">
        <v>24</v>
      </c>
      <c r="B58" s="33" t="s">
        <v>50</v>
      </c>
      <c r="C58" s="59">
        <v>22000</v>
      </c>
      <c r="D58" s="34">
        <v>700</v>
      </c>
      <c r="E58" s="54">
        <v>4.19</v>
      </c>
      <c r="F58" s="60">
        <v>295.2</v>
      </c>
      <c r="G58" s="34" t="s">
        <v>50</v>
      </c>
      <c r="H58" s="57">
        <v>1</v>
      </c>
    </row>
    <row r="61" ht="13.5" thickBot="1">
      <c r="A61" s="26" t="s">
        <v>51</v>
      </c>
    </row>
    <row r="62" spans="1:8" ht="12.75">
      <c r="A62" s="38" t="s">
        <v>26</v>
      </c>
      <c r="B62" s="39" t="s">
        <v>34</v>
      </c>
      <c r="C62" s="40"/>
      <c r="D62" s="41"/>
      <c r="E62" s="42" t="s">
        <v>35</v>
      </c>
      <c r="F62" s="42" t="s">
        <v>36</v>
      </c>
      <c r="G62" s="42" t="s">
        <v>52</v>
      </c>
      <c r="H62" s="9" t="s">
        <v>52</v>
      </c>
    </row>
    <row r="63" spans="1:8" ht="12.75">
      <c r="A63" s="43"/>
      <c r="B63" s="44"/>
      <c r="C63" s="45" t="s">
        <v>38</v>
      </c>
      <c r="D63" s="46"/>
      <c r="E63" s="47" t="s">
        <v>39</v>
      </c>
      <c r="F63" s="12" t="s">
        <v>40</v>
      </c>
      <c r="G63" s="47" t="s">
        <v>41</v>
      </c>
      <c r="H63" s="13" t="s">
        <v>41</v>
      </c>
    </row>
    <row r="64" spans="1:8" ht="12.75">
      <c r="A64" s="43"/>
      <c r="B64" s="48"/>
      <c r="C64" s="45"/>
      <c r="D64" s="46"/>
      <c r="E64" s="47" t="s">
        <v>42</v>
      </c>
      <c r="F64" s="12"/>
      <c r="G64" s="47" t="s">
        <v>43</v>
      </c>
      <c r="H64" s="13" t="s">
        <v>44</v>
      </c>
    </row>
    <row r="65" spans="1:8" ht="13.5" thickBot="1">
      <c r="A65" s="49"/>
      <c r="B65" s="50" t="s">
        <v>45</v>
      </c>
      <c r="C65" s="51" t="s">
        <v>46</v>
      </c>
      <c r="D65" s="51" t="s">
        <v>47</v>
      </c>
      <c r="E65" s="52" t="s">
        <v>48</v>
      </c>
      <c r="F65" s="52" t="s">
        <v>49</v>
      </c>
      <c r="G65" s="51"/>
      <c r="H65" s="53"/>
    </row>
    <row r="66" spans="1:8" ht="12.75">
      <c r="A66" s="22" t="s">
        <v>20</v>
      </c>
      <c r="B66" s="23">
        <f>1.5*10^1</f>
        <v>15</v>
      </c>
      <c r="C66" s="24" t="s">
        <v>50</v>
      </c>
      <c r="D66" s="23">
        <f>2*10^-2</f>
        <v>0.02</v>
      </c>
      <c r="E66" s="54">
        <v>2.66</v>
      </c>
      <c r="F66" s="23" t="s">
        <v>50</v>
      </c>
      <c r="G66" s="34">
        <v>1</v>
      </c>
      <c r="H66" s="61">
        <v>1.5</v>
      </c>
    </row>
    <row r="67" spans="1:8" ht="12.75">
      <c r="A67" s="18" t="s">
        <v>21</v>
      </c>
      <c r="B67" s="15">
        <f>5.1*10^2</f>
        <v>509.99999999999994</v>
      </c>
      <c r="C67" s="31" t="s">
        <v>50</v>
      </c>
      <c r="D67" s="15">
        <f>2*10^-1</f>
        <v>0.2</v>
      </c>
      <c r="E67" s="36">
        <v>2.66</v>
      </c>
      <c r="F67" s="15" t="s">
        <v>50</v>
      </c>
      <c r="G67" s="56">
        <v>1</v>
      </c>
      <c r="H67" s="57">
        <v>1</v>
      </c>
    </row>
    <row r="68" spans="1:8" ht="12.75">
      <c r="A68" s="14" t="s">
        <v>22</v>
      </c>
      <c r="B68" s="15">
        <f>2.1*10^-2</f>
        <v>0.021</v>
      </c>
      <c r="C68" s="62">
        <v>20000</v>
      </c>
      <c r="D68" s="56">
        <v>35</v>
      </c>
      <c r="E68" s="36">
        <v>2.66</v>
      </c>
      <c r="F68" s="33">
        <v>202.4</v>
      </c>
      <c r="G68" s="56">
        <v>1</v>
      </c>
      <c r="H68" s="57">
        <v>1</v>
      </c>
    </row>
    <row r="69" spans="1:8" ht="12.75">
      <c r="A69" s="14" t="s">
        <v>23</v>
      </c>
      <c r="B69" s="15">
        <f>3.9*10^-2</f>
        <v>0.039</v>
      </c>
      <c r="C69" s="33" t="s">
        <v>50</v>
      </c>
      <c r="D69" s="15">
        <f>7*10^-2</f>
        <v>0.07</v>
      </c>
      <c r="E69" s="36">
        <v>2.66</v>
      </c>
      <c r="F69" s="15" t="s">
        <v>50</v>
      </c>
      <c r="G69" s="56">
        <v>1</v>
      </c>
      <c r="H69" s="57">
        <v>1</v>
      </c>
    </row>
    <row r="70" spans="1:8" ht="12.75">
      <c r="A70" s="22" t="s">
        <v>24</v>
      </c>
      <c r="B70" s="33" t="s">
        <v>50</v>
      </c>
      <c r="C70" s="63">
        <v>22000</v>
      </c>
      <c r="D70" s="34">
        <v>700</v>
      </c>
      <c r="E70" s="54">
        <v>2.66</v>
      </c>
      <c r="F70" s="60">
        <v>202.4</v>
      </c>
      <c r="G70" s="34" t="s">
        <v>50</v>
      </c>
      <c r="H70" s="57">
        <v>1</v>
      </c>
    </row>
    <row r="72" ht="12.75">
      <c r="A72" s="1" t="s">
        <v>53</v>
      </c>
    </row>
    <row r="73" ht="12.75">
      <c r="A73" t="s">
        <v>54</v>
      </c>
    </row>
    <row r="75" ht="13.5" thickBot="1">
      <c r="A75" s="26" t="s">
        <v>33</v>
      </c>
    </row>
    <row r="76" spans="1:10" ht="12.75">
      <c r="A76" s="38" t="s">
        <v>26</v>
      </c>
      <c r="B76" s="39" t="s">
        <v>34</v>
      </c>
      <c r="C76" s="40" t="s">
        <v>16</v>
      </c>
      <c r="D76" s="41" t="s">
        <v>55</v>
      </c>
      <c r="E76" s="42" t="s">
        <v>56</v>
      </c>
      <c r="F76" s="42" t="s">
        <v>57</v>
      </c>
      <c r="G76" s="42" t="s">
        <v>58</v>
      </c>
      <c r="H76" s="42" t="s">
        <v>59</v>
      </c>
      <c r="I76" s="42" t="s">
        <v>37</v>
      </c>
      <c r="J76" s="9" t="s">
        <v>43</v>
      </c>
    </row>
    <row r="77" spans="1:10" ht="13.5" thickBot="1">
      <c r="A77" s="49"/>
      <c r="B77" s="50" t="s">
        <v>45</v>
      </c>
      <c r="C77" s="51" t="s">
        <v>60</v>
      </c>
      <c r="D77" s="51"/>
      <c r="E77" s="52"/>
      <c r="F77" s="52"/>
      <c r="G77" s="51"/>
      <c r="H77" s="51"/>
      <c r="I77" s="51"/>
      <c r="J77" s="53"/>
    </row>
    <row r="78" spans="1:10" ht="12.75">
      <c r="A78" s="22" t="s">
        <v>20</v>
      </c>
      <c r="B78" s="23">
        <f>1.5*10^1</f>
        <v>15</v>
      </c>
      <c r="C78" s="23">
        <f>D26</f>
        <v>2.8079999999999996E-06</v>
      </c>
      <c r="D78" s="54">
        <f>E54</f>
        <v>4.19</v>
      </c>
      <c r="E78" s="60">
        <v>4.2</v>
      </c>
      <c r="F78" s="54">
        <v>0.86</v>
      </c>
      <c r="G78" s="34">
        <v>149</v>
      </c>
      <c r="H78" s="54">
        <v>0.38</v>
      </c>
      <c r="I78" s="34">
        <v>1</v>
      </c>
      <c r="J78" s="64">
        <f>B78*C78*D78*E78*F78*G78*H78*10^-6*I78</f>
        <v>3.6092751563232E-08</v>
      </c>
    </row>
    <row r="79" spans="1:10" ht="12.75">
      <c r="A79" s="18" t="s">
        <v>21</v>
      </c>
      <c r="B79" s="15">
        <f>5.1*10^2</f>
        <v>509.99999999999994</v>
      </c>
      <c r="C79" s="23">
        <f>D27</f>
        <v>2.5999999999999997E-06</v>
      </c>
      <c r="D79" s="54">
        <f>E55</f>
        <v>4.19</v>
      </c>
      <c r="E79" s="60">
        <v>4.2</v>
      </c>
      <c r="F79" s="54">
        <v>0.86</v>
      </c>
      <c r="G79" s="34">
        <v>149</v>
      </c>
      <c r="H79" s="54">
        <v>0.38</v>
      </c>
      <c r="I79" s="34">
        <v>1</v>
      </c>
      <c r="J79" s="64">
        <f>B79*C79*D79*E79*F79*G79*H79*10^-6*I79</f>
        <v>1.1362532899536E-06</v>
      </c>
    </row>
    <row r="80" spans="1:10" ht="12.75">
      <c r="A80" s="14" t="s">
        <v>22</v>
      </c>
      <c r="B80" s="15">
        <f>2.1*10^-2</f>
        <v>0.021</v>
      </c>
      <c r="C80" s="23">
        <f>D28</f>
        <v>0.00039520000000000007</v>
      </c>
      <c r="D80" s="54">
        <f>E56</f>
        <v>4.19</v>
      </c>
      <c r="E80" s="60">
        <v>4.2</v>
      </c>
      <c r="F80" s="54">
        <v>0.86</v>
      </c>
      <c r="G80" s="34">
        <v>149</v>
      </c>
      <c r="H80" s="54">
        <v>0.38</v>
      </c>
      <c r="I80" s="34">
        <v>1</v>
      </c>
      <c r="J80" s="64">
        <f>B80*C80*D80*E80*F80*G80*H80*10^-6*I80</f>
        <v>7.111608826533123E-09</v>
      </c>
    </row>
    <row r="81" spans="1:10" ht="12.75">
      <c r="A81" s="14" t="s">
        <v>23</v>
      </c>
      <c r="B81" s="15">
        <f>3.9*10^-2</f>
        <v>0.039</v>
      </c>
      <c r="C81" s="23">
        <f>D29</f>
        <v>0.001144</v>
      </c>
      <c r="D81" s="54">
        <f>E57</f>
        <v>4.19</v>
      </c>
      <c r="E81" s="60">
        <v>4.2</v>
      </c>
      <c r="F81" s="54">
        <v>0.86</v>
      </c>
      <c r="G81" s="34">
        <v>149</v>
      </c>
      <c r="H81" s="54">
        <v>0.38</v>
      </c>
      <c r="I81" s="34">
        <v>1</v>
      </c>
      <c r="J81" s="64">
        <f>B81*C81*D81*E81*F81*G81*H81*10^-6*I81</f>
        <v>3.82315812854976E-08</v>
      </c>
    </row>
    <row r="82" spans="1:10" ht="12.75">
      <c r="A82" s="65" t="s">
        <v>61</v>
      </c>
      <c r="B82" s="33"/>
      <c r="C82" s="63"/>
      <c r="D82" s="34"/>
      <c r="E82" s="54"/>
      <c r="F82" s="60"/>
      <c r="G82" s="34"/>
      <c r="H82" s="34"/>
      <c r="I82" s="34"/>
      <c r="J82" s="66">
        <f>SUM(J78:J81)</f>
        <v>1.2176892316288627E-06</v>
      </c>
    </row>
    <row r="85" ht="13.5" thickBot="1">
      <c r="A85" s="26" t="s">
        <v>51</v>
      </c>
    </row>
    <row r="86" spans="1:10" ht="12.75">
      <c r="A86" s="38" t="s">
        <v>26</v>
      </c>
      <c r="B86" s="39" t="s">
        <v>34</v>
      </c>
      <c r="C86" s="40" t="s">
        <v>16</v>
      </c>
      <c r="D86" s="41" t="s">
        <v>55</v>
      </c>
      <c r="E86" s="42" t="s">
        <v>56</v>
      </c>
      <c r="F86" s="42" t="s">
        <v>57</v>
      </c>
      <c r="G86" s="42" t="s">
        <v>58</v>
      </c>
      <c r="H86" s="42" t="s">
        <v>59</v>
      </c>
      <c r="I86" s="42" t="s">
        <v>52</v>
      </c>
      <c r="J86" s="9" t="s">
        <v>43</v>
      </c>
    </row>
    <row r="87" spans="1:10" ht="13.5" thickBot="1">
      <c r="A87" s="49"/>
      <c r="B87" s="50" t="s">
        <v>45</v>
      </c>
      <c r="C87" s="51" t="s">
        <v>60</v>
      </c>
      <c r="D87" s="51"/>
      <c r="E87" s="52"/>
      <c r="F87" s="52"/>
      <c r="G87" s="51"/>
      <c r="H87" s="51"/>
      <c r="I87" s="51"/>
      <c r="J87" s="53"/>
    </row>
    <row r="88" spans="1:10" ht="12.75">
      <c r="A88" s="22" t="s">
        <v>20</v>
      </c>
      <c r="B88" s="23">
        <f>1.5*10^1</f>
        <v>15</v>
      </c>
      <c r="C88" s="23">
        <f>C78</f>
        <v>2.8079999999999996E-06</v>
      </c>
      <c r="D88" s="54">
        <f>E66</f>
        <v>2.66</v>
      </c>
      <c r="E88" s="60">
        <v>1</v>
      </c>
      <c r="F88" s="54">
        <v>0.86</v>
      </c>
      <c r="G88" s="34">
        <v>302</v>
      </c>
      <c r="H88" s="54">
        <v>0.96</v>
      </c>
      <c r="I88" s="34">
        <v>1</v>
      </c>
      <c r="J88" s="64">
        <f>B88*C88*D88*E88*F88*G88*H88*10^-6*I88</f>
        <v>2.7934868183039998E-08</v>
      </c>
    </row>
    <row r="89" spans="1:10" ht="12.75">
      <c r="A89" s="18" t="s">
        <v>21</v>
      </c>
      <c r="B89" s="15">
        <f>5.1*10^2</f>
        <v>509.99999999999994</v>
      </c>
      <c r="C89" s="23">
        <f>C79</f>
        <v>2.5999999999999997E-06</v>
      </c>
      <c r="D89" s="54">
        <f>E67</f>
        <v>2.66</v>
      </c>
      <c r="E89" s="60">
        <v>1</v>
      </c>
      <c r="F89" s="54">
        <v>0.86</v>
      </c>
      <c r="G89" s="34">
        <v>302</v>
      </c>
      <c r="H89" s="54">
        <v>0.96</v>
      </c>
      <c r="I89" s="34">
        <v>1</v>
      </c>
      <c r="J89" s="64">
        <f>B89*C89*D89*E89*F89*G89*H89*10^-6*I89</f>
        <v>8.794310353919997E-07</v>
      </c>
    </row>
    <row r="90" spans="1:10" ht="12.75">
      <c r="A90" s="14" t="s">
        <v>22</v>
      </c>
      <c r="B90" s="15">
        <f>2.1*10^-2</f>
        <v>0.021</v>
      </c>
      <c r="C90" s="23">
        <f>C80</f>
        <v>0.00039520000000000007</v>
      </c>
      <c r="D90" s="54">
        <f>E68</f>
        <v>2.66</v>
      </c>
      <c r="E90" s="60">
        <v>1</v>
      </c>
      <c r="F90" s="54">
        <v>0.86</v>
      </c>
      <c r="G90" s="34">
        <v>302</v>
      </c>
      <c r="H90" s="54">
        <v>0.96</v>
      </c>
      <c r="I90" s="34">
        <v>1</v>
      </c>
      <c r="J90" s="64">
        <f>B90*C90*D90*E90*F90*G90*H90*10^-6*I90</f>
        <v>5.504203656806401E-09</v>
      </c>
    </row>
    <row r="91" spans="1:10" ht="12.75">
      <c r="A91" s="14" t="s">
        <v>23</v>
      </c>
      <c r="B91" s="15">
        <f>3.9*10^-2</f>
        <v>0.039</v>
      </c>
      <c r="C91" s="23">
        <f>C81</f>
        <v>0.001144</v>
      </c>
      <c r="D91" s="54">
        <f>E69</f>
        <v>2.66</v>
      </c>
      <c r="E91" s="60">
        <v>1</v>
      </c>
      <c r="F91" s="54">
        <v>0.86</v>
      </c>
      <c r="G91" s="34">
        <v>302</v>
      </c>
      <c r="H91" s="54">
        <v>0.96</v>
      </c>
      <c r="I91" s="34">
        <v>1</v>
      </c>
      <c r="J91" s="64">
        <f>B91*C91*D91*E91*F91*G91*H91*10^-6*I91</f>
        <v>2.9590267779072E-08</v>
      </c>
    </row>
    <row r="92" spans="1:10" ht="12.75">
      <c r="A92" s="65" t="s">
        <v>61</v>
      </c>
      <c r="B92" s="33"/>
      <c r="C92" s="63"/>
      <c r="D92" s="34"/>
      <c r="E92" s="54"/>
      <c r="F92" s="60"/>
      <c r="G92" s="34"/>
      <c r="H92" s="34"/>
      <c r="I92" s="34"/>
      <c r="J92" s="66">
        <f>SUM(J88:J91)</f>
        <v>9.424603750109181E-07</v>
      </c>
    </row>
    <row r="95" ht="12.75">
      <c r="A95" s="1" t="s">
        <v>62</v>
      </c>
    </row>
    <row r="97" ht="12.75">
      <c r="A97" s="67" t="s">
        <v>63</v>
      </c>
    </row>
    <row r="98" ht="12.75">
      <c r="A98" s="67" t="s">
        <v>64</v>
      </c>
    </row>
    <row r="99" spans="1:2" ht="12.75">
      <c r="A99" t="s">
        <v>65</v>
      </c>
      <c r="B99" s="68">
        <f>(1/J82)*10^-6</f>
        <v>0.8212275956997115</v>
      </c>
    </row>
    <row r="101" ht="12.75">
      <c r="A101" s="1" t="s">
        <v>66</v>
      </c>
    </row>
    <row r="103" ht="12.75">
      <c r="A103" s="67" t="s">
        <v>67</v>
      </c>
    </row>
    <row r="104" ht="12.75">
      <c r="A104" s="67" t="s">
        <v>68</v>
      </c>
    </row>
    <row r="105" spans="1:2" ht="12.75">
      <c r="A105" s="67" t="s">
        <v>69</v>
      </c>
      <c r="B105" s="69">
        <f>4.19*B99</f>
        <v>3.4409436259817916</v>
      </c>
    </row>
    <row r="107" ht="12.75">
      <c r="A107" s="1" t="s">
        <v>70</v>
      </c>
    </row>
    <row r="109" ht="12.75">
      <c r="A109" s="67" t="s">
        <v>71</v>
      </c>
    </row>
    <row r="110" spans="1:3" ht="12.75">
      <c r="A110" s="67" t="s">
        <v>72</v>
      </c>
      <c r="B110" s="70">
        <f>(200-100)*(4.19-B105)/(4.19-1.12)+100</f>
        <v>124.3992304240459</v>
      </c>
      <c r="C110" t="s">
        <v>73</v>
      </c>
    </row>
    <row r="111" spans="1:3" ht="12.75">
      <c r="A111" s="67" t="s">
        <v>72</v>
      </c>
      <c r="B111" s="71">
        <f>B110/1000</f>
        <v>0.1243992304240459</v>
      </c>
      <c r="C111" t="s">
        <v>74</v>
      </c>
    </row>
    <row r="114" ht="12.75">
      <c r="A114" s="1" t="s">
        <v>75</v>
      </c>
    </row>
    <row r="116" ht="12.75">
      <c r="A116" s="67" t="s">
        <v>76</v>
      </c>
    </row>
    <row r="117" ht="12.75">
      <c r="A117" s="67" t="s">
        <v>77</v>
      </c>
    </row>
    <row r="118" spans="1:3" ht="12.75">
      <c r="A118" s="67" t="s">
        <v>78</v>
      </c>
      <c r="B118" s="69">
        <f>3.14*(B111)^2</f>
        <v>0.048592029184497884</v>
      </c>
      <c r="C118" t="s">
        <v>79</v>
      </c>
    </row>
    <row r="121" ht="12.75">
      <c r="A121" s="1" t="s">
        <v>80</v>
      </c>
    </row>
    <row r="123" ht="12.75">
      <c r="A123" s="67" t="s">
        <v>81</v>
      </c>
    </row>
    <row r="124" ht="12.75">
      <c r="A124" s="67" t="s">
        <v>82</v>
      </c>
    </row>
    <row r="125" spans="1:3" ht="12.75">
      <c r="A125" s="67" t="s">
        <v>83</v>
      </c>
      <c r="B125" s="72">
        <f>B118*7000</f>
        <v>340.1442042914852</v>
      </c>
      <c r="C125" t="s">
        <v>84</v>
      </c>
    </row>
    <row r="128" ht="12.75">
      <c r="A128" s="1" t="s">
        <v>85</v>
      </c>
    </row>
    <row r="130" ht="12.75">
      <c r="A130" s="67" t="s">
        <v>86</v>
      </c>
    </row>
    <row r="131" ht="12.75">
      <c r="A131" s="67" t="s">
        <v>87</v>
      </c>
    </row>
    <row r="132" spans="1:2" ht="12.75">
      <c r="A132" s="67" t="s">
        <v>88</v>
      </c>
      <c r="B132" s="71">
        <f>B125*J82</f>
        <v>0.00041418993476670954</v>
      </c>
    </row>
    <row r="135" spans="1:3" ht="12.75">
      <c r="A135" s="1" t="s">
        <v>89</v>
      </c>
      <c r="C135" s="73"/>
    </row>
    <row r="136" ht="12.75">
      <c r="C136" s="73"/>
    </row>
    <row r="137" spans="1:6" ht="13.5" thickBot="1">
      <c r="A137" s="26" t="s">
        <v>90</v>
      </c>
      <c r="F137" t="s">
        <v>91</v>
      </c>
    </row>
    <row r="138" spans="1:9" ht="13.5" thickBot="1">
      <c r="A138" s="67" t="s">
        <v>92</v>
      </c>
      <c r="F138" s="38" t="s">
        <v>26</v>
      </c>
      <c r="G138" s="74" t="s">
        <v>93</v>
      </c>
      <c r="H138" s="75"/>
      <c r="I138" s="76"/>
    </row>
    <row r="139" spans="1:9" ht="13.5" thickBot="1">
      <c r="A139" s="67" t="s">
        <v>94</v>
      </c>
      <c r="F139" s="77"/>
      <c r="G139" s="78" t="s">
        <v>95</v>
      </c>
      <c r="H139" s="79" t="s">
        <v>96</v>
      </c>
      <c r="I139" s="80" t="s">
        <v>97</v>
      </c>
    </row>
    <row r="140" spans="1:9" ht="12.75">
      <c r="A140" s="67" t="s">
        <v>98</v>
      </c>
      <c r="B140" s="81">
        <f>3.8*10^-4*295.2/20000</f>
        <v>5.6087999999999996E-06</v>
      </c>
      <c r="F140" s="82" t="s">
        <v>90</v>
      </c>
      <c r="G140" s="83">
        <f>$B$140</f>
        <v>5.6087999999999996E-06</v>
      </c>
      <c r="H140" s="84">
        <f>$B$140</f>
        <v>5.6087999999999996E-06</v>
      </c>
      <c r="I140" s="85">
        <f>$B$140</f>
        <v>5.6087999999999996E-06</v>
      </c>
    </row>
    <row r="141" spans="6:9" ht="12.75">
      <c r="F141" s="86" t="s">
        <v>24</v>
      </c>
      <c r="G141" s="87"/>
      <c r="H141" s="88">
        <f>$B$149</f>
        <v>0.0005367272727272727</v>
      </c>
      <c r="I141" s="89">
        <f>$B$149</f>
        <v>0.0005367272727272727</v>
      </c>
    </row>
    <row r="142" spans="1:9" ht="12.75">
      <c r="A142" s="67" t="s">
        <v>99</v>
      </c>
      <c r="F142" s="90" t="s">
        <v>61</v>
      </c>
      <c r="G142" s="91">
        <f>SUM(G140:G141)</f>
        <v>5.6087999999999996E-06</v>
      </c>
      <c r="H142" s="92">
        <f>SUM(H140:H141)</f>
        <v>0.0005423360727272727</v>
      </c>
      <c r="I142" s="93">
        <f>SUM(I140:I141)</f>
        <v>0.0005423360727272727</v>
      </c>
    </row>
    <row r="143" ht="12.75">
      <c r="A143" s="67" t="s">
        <v>100</v>
      </c>
    </row>
    <row r="144" spans="1:2" ht="12.75">
      <c r="A144" s="67" t="s">
        <v>98</v>
      </c>
      <c r="B144" s="81">
        <f>3.8*10^-4*202.4/20000</f>
        <v>3.8456E-06</v>
      </c>
    </row>
    <row r="145" ht="13.5" thickBot="1">
      <c r="F145" t="s">
        <v>101</v>
      </c>
    </row>
    <row r="146" spans="1:9" ht="13.5" thickBot="1">
      <c r="A146" s="26" t="s">
        <v>24</v>
      </c>
      <c r="F146" s="38" t="s">
        <v>26</v>
      </c>
      <c r="G146" s="74" t="s">
        <v>93</v>
      </c>
      <c r="H146" s="75"/>
      <c r="I146" s="76"/>
    </row>
    <row r="147" spans="1:9" ht="13.5" thickBot="1">
      <c r="A147" s="67" t="s">
        <v>92</v>
      </c>
      <c r="F147" s="77"/>
      <c r="G147" s="78" t="s">
        <v>95</v>
      </c>
      <c r="H147" s="79" t="s">
        <v>96</v>
      </c>
      <c r="I147" s="80" t="s">
        <v>97</v>
      </c>
    </row>
    <row r="148" spans="1:9" ht="12.75">
      <c r="A148" s="67" t="s">
        <v>102</v>
      </c>
      <c r="F148" s="82" t="s">
        <v>90</v>
      </c>
      <c r="G148" s="83">
        <f>$B$144</f>
        <v>3.8456E-06</v>
      </c>
      <c r="H148" s="84">
        <f>$B$144</f>
        <v>3.8456E-06</v>
      </c>
      <c r="I148" s="85">
        <f>$B$144</f>
        <v>3.8456E-06</v>
      </c>
    </row>
    <row r="149" spans="1:9" ht="12.75">
      <c r="A149" s="67" t="s">
        <v>98</v>
      </c>
      <c r="B149" s="81">
        <f>0.04*295.2/22000</f>
        <v>0.0005367272727272727</v>
      </c>
      <c r="F149" s="86" t="s">
        <v>24</v>
      </c>
      <c r="G149" s="87"/>
      <c r="H149" s="88">
        <f>$B$153</f>
        <v>0.000368</v>
      </c>
      <c r="I149" s="89">
        <f>$B$153</f>
        <v>0.000368</v>
      </c>
    </row>
    <row r="150" spans="6:9" ht="12.75">
      <c r="F150" s="90" t="s">
        <v>61</v>
      </c>
      <c r="G150" s="91">
        <f>SUM(G148:G149)</f>
        <v>3.8456E-06</v>
      </c>
      <c r="H150" s="92">
        <f>SUM(H148:H149)</f>
        <v>0.0003718456</v>
      </c>
      <c r="I150" s="93">
        <f>SUM(I148:I149)</f>
        <v>0.0003718456</v>
      </c>
    </row>
    <row r="151" ht="12.75">
      <c r="A151" s="67" t="s">
        <v>99</v>
      </c>
    </row>
    <row r="152" ht="12.75">
      <c r="A152" s="67" t="s">
        <v>103</v>
      </c>
    </row>
    <row r="153" spans="1:2" ht="12.75">
      <c r="A153" s="67" t="s">
        <v>98</v>
      </c>
      <c r="B153" s="81">
        <f>0.04*202.4/22000</f>
        <v>0.000368</v>
      </c>
    </row>
    <row r="156" spans="1:3" ht="12.75">
      <c r="A156" s="1" t="s">
        <v>104</v>
      </c>
      <c r="C156" s="94"/>
    </row>
    <row r="157" ht="12.75">
      <c r="C157" s="94"/>
    </row>
    <row r="158" spans="1:6" ht="13.5" thickBot="1">
      <c r="A158" s="26" t="s">
        <v>20</v>
      </c>
      <c r="F158" t="s">
        <v>91</v>
      </c>
    </row>
    <row r="159" spans="1:10" ht="13.5" thickBot="1">
      <c r="A159" s="67" t="s">
        <v>105</v>
      </c>
      <c r="F159" s="38" t="s">
        <v>26</v>
      </c>
      <c r="G159" s="74" t="s">
        <v>106</v>
      </c>
      <c r="H159" s="75"/>
      <c r="I159" s="75"/>
      <c r="J159" s="76"/>
    </row>
    <row r="160" spans="1:10" ht="13.5" thickBot="1">
      <c r="A160" s="67" t="s">
        <v>107</v>
      </c>
      <c r="F160" s="77"/>
      <c r="G160" s="78" t="s">
        <v>95</v>
      </c>
      <c r="H160" s="79" t="s">
        <v>108</v>
      </c>
      <c r="I160" s="79" t="s">
        <v>109</v>
      </c>
      <c r="J160" s="80" t="s">
        <v>97</v>
      </c>
    </row>
    <row r="161" spans="1:10" ht="12.75">
      <c r="A161" s="67" t="s">
        <v>110</v>
      </c>
      <c r="B161" s="81">
        <f>(D26*4.19*0.86*1.12)/(2*10^-2)</f>
        <v>0.0005666274432</v>
      </c>
      <c r="F161" s="82" t="s">
        <v>20</v>
      </c>
      <c r="G161" s="83"/>
      <c r="H161" s="83">
        <f>$B$161</f>
        <v>0.0005666274432</v>
      </c>
      <c r="I161" s="84"/>
      <c r="J161" s="85">
        <f>$B$161</f>
        <v>0.0005666274432</v>
      </c>
    </row>
    <row r="162" spans="6:10" ht="12.75">
      <c r="F162" s="86" t="s">
        <v>111</v>
      </c>
      <c r="G162" s="87"/>
      <c r="H162" s="88"/>
      <c r="I162" s="88"/>
      <c r="J162" s="89">
        <f>$B$170</f>
        <v>4.684419999999999E-05</v>
      </c>
    </row>
    <row r="163" spans="1:10" ht="12.75">
      <c r="A163" s="67" t="s">
        <v>112</v>
      </c>
      <c r="F163" s="86" t="s">
        <v>22</v>
      </c>
      <c r="G163" s="87"/>
      <c r="H163" s="88">
        <f>$B$179</f>
        <v>4.0687533714285723E-05</v>
      </c>
      <c r="I163" s="88">
        <f>$B$179</f>
        <v>4.0687533714285723E-05</v>
      </c>
      <c r="J163" s="89">
        <f>$B$179</f>
        <v>4.0687533714285723E-05</v>
      </c>
    </row>
    <row r="164" spans="1:10" ht="12.75">
      <c r="A164" s="67" t="s">
        <v>113</v>
      </c>
      <c r="F164" s="86" t="s">
        <v>23</v>
      </c>
      <c r="G164" s="87"/>
      <c r="H164" s="88"/>
      <c r="I164" s="88"/>
      <c r="J164" s="89">
        <f>$B$188</f>
        <v>0.05888985142857143</v>
      </c>
    </row>
    <row r="165" spans="1:10" ht="13.5" thickBot="1">
      <c r="A165" s="67" t="s">
        <v>110</v>
      </c>
      <c r="B165" s="81">
        <f>(D26*2.66*0.86*1.5)/(2*10^-2)</f>
        <v>0.00048176855999999997</v>
      </c>
      <c r="F165" s="95" t="s">
        <v>24</v>
      </c>
      <c r="G165" s="96">
        <f>$B$197</f>
        <v>0.0002141449142857143</v>
      </c>
      <c r="H165" s="96"/>
      <c r="I165" s="96"/>
      <c r="J165" s="97">
        <f>$B$197</f>
        <v>0.0002141449142857143</v>
      </c>
    </row>
    <row r="166" spans="6:10" ht="12.75">
      <c r="F166" s="98" t="s">
        <v>61</v>
      </c>
      <c r="G166" s="99">
        <f>SUM(G161:G165)</f>
        <v>0.0002141449142857143</v>
      </c>
      <c r="H166" s="99">
        <f>SUM(H161:H165)</f>
        <v>0.0006073149769142858</v>
      </c>
      <c r="I166" s="99">
        <f>SUM(I161:I165)</f>
        <v>4.0687533714285723E-05</v>
      </c>
      <c r="J166" s="100">
        <f>SUM(J161:J165)</f>
        <v>0.05975815551977143</v>
      </c>
    </row>
    <row r="167" spans="1:10" ht="12.75">
      <c r="A167" s="26" t="s">
        <v>111</v>
      </c>
      <c r="G167" s="101"/>
      <c r="H167" s="101"/>
      <c r="I167" s="101"/>
      <c r="J167" s="101"/>
    </row>
    <row r="168" spans="1:10" ht="12.75">
      <c r="A168" s="67" t="s">
        <v>105</v>
      </c>
      <c r="G168" s="101"/>
      <c r="H168" s="101"/>
      <c r="I168" s="101"/>
      <c r="J168" s="101"/>
    </row>
    <row r="169" spans="1:10" ht="13.5" thickBot="1">
      <c r="A169" s="67" t="s">
        <v>114</v>
      </c>
      <c r="F169" t="s">
        <v>101</v>
      </c>
      <c r="G169" s="101"/>
      <c r="H169" s="101"/>
      <c r="I169" s="101"/>
      <c r="J169" s="101"/>
    </row>
    <row r="170" spans="1:10" ht="13.5" thickBot="1">
      <c r="A170" s="67" t="s">
        <v>110</v>
      </c>
      <c r="B170" s="81">
        <f>(D27*4.19*0.86*1)/(2*10^-1)</f>
        <v>4.684419999999999E-05</v>
      </c>
      <c r="F170" s="38" t="s">
        <v>26</v>
      </c>
      <c r="G170" s="102" t="s">
        <v>106</v>
      </c>
      <c r="H170" s="103"/>
      <c r="I170" s="103"/>
      <c r="J170" s="104"/>
    </row>
    <row r="171" spans="6:10" ht="13.5" thickBot="1">
      <c r="F171" s="77"/>
      <c r="G171" s="105" t="s">
        <v>95</v>
      </c>
      <c r="H171" s="79" t="s">
        <v>108</v>
      </c>
      <c r="I171" s="79" t="s">
        <v>109</v>
      </c>
      <c r="J171" s="106" t="s">
        <v>97</v>
      </c>
    </row>
    <row r="172" spans="1:10" ht="12.75">
      <c r="A172" s="67" t="s">
        <v>112</v>
      </c>
      <c r="F172" s="82" t="s">
        <v>20</v>
      </c>
      <c r="G172" s="83"/>
      <c r="H172" s="83">
        <f>$B$165</f>
        <v>0.00048176855999999997</v>
      </c>
      <c r="I172" s="84"/>
      <c r="J172" s="85">
        <f>$B$165</f>
        <v>0.00048176855999999997</v>
      </c>
    </row>
    <row r="173" spans="1:10" ht="12.75">
      <c r="A173" s="67" t="s">
        <v>115</v>
      </c>
      <c r="F173" s="86" t="s">
        <v>111</v>
      </c>
      <c r="G173" s="87"/>
      <c r="H173" s="88"/>
      <c r="I173" s="88"/>
      <c r="J173" s="89">
        <f>$B$174</f>
        <v>2.9738799999999997E-05</v>
      </c>
    </row>
    <row r="174" spans="1:10" ht="12.75">
      <c r="A174" s="67" t="s">
        <v>110</v>
      </c>
      <c r="B174" s="81">
        <f>(D27*2.66*0.86*1)/(2*10^-1)</f>
        <v>2.9738799999999997E-05</v>
      </c>
      <c r="F174" s="86" t="s">
        <v>22</v>
      </c>
      <c r="G174" s="87"/>
      <c r="H174" s="88">
        <f>$B$183</f>
        <v>2.5830272000000006E-05</v>
      </c>
      <c r="I174" s="88">
        <f>$B$183</f>
        <v>2.5830272000000006E-05</v>
      </c>
      <c r="J174" s="89">
        <f>$B$183</f>
        <v>2.5830272000000006E-05</v>
      </c>
    </row>
    <row r="175" spans="6:10" ht="12.75">
      <c r="F175" s="86" t="s">
        <v>23</v>
      </c>
      <c r="G175" s="87"/>
      <c r="H175" s="88"/>
      <c r="I175" s="88"/>
      <c r="J175" s="89">
        <f>$B$192</f>
        <v>0.037385919999999996</v>
      </c>
    </row>
    <row r="176" spans="1:10" ht="13.5" thickBot="1">
      <c r="A176" s="26" t="s">
        <v>22</v>
      </c>
      <c r="F176" s="95" t="s">
        <v>24</v>
      </c>
      <c r="G176" s="96">
        <f>$B$200</f>
        <v>0.0001359488</v>
      </c>
      <c r="H176" s="96"/>
      <c r="I176" s="96"/>
      <c r="J176" s="97">
        <f>$B$200</f>
        <v>0.0001359488</v>
      </c>
    </row>
    <row r="177" spans="1:10" ht="12.75">
      <c r="A177" s="67" t="s">
        <v>105</v>
      </c>
      <c r="F177" s="98" t="s">
        <v>61</v>
      </c>
      <c r="G177" s="99">
        <f>SUM(G172:G176)</f>
        <v>0.0001359488</v>
      </c>
      <c r="H177" s="99">
        <f>SUM(H172:H176)</f>
        <v>0.000507598832</v>
      </c>
      <c r="I177" s="99">
        <f>SUM(I172:I176)</f>
        <v>2.5830272000000006E-05</v>
      </c>
      <c r="J177" s="100">
        <f>SUM(J172:J176)</f>
        <v>0.038059206431999996</v>
      </c>
    </row>
    <row r="178" ht="12.75">
      <c r="A178" s="67" t="s">
        <v>116</v>
      </c>
    </row>
    <row r="179" spans="1:2" ht="12.75">
      <c r="A179" s="67" t="s">
        <v>110</v>
      </c>
      <c r="B179" s="81">
        <f>(D28*4.19*0.86*1)/35</f>
        <v>4.0687533714285723E-05</v>
      </c>
    </row>
    <row r="181" ht="12.75">
      <c r="A181" s="67" t="s">
        <v>112</v>
      </c>
    </row>
    <row r="182" ht="12.75">
      <c r="A182" s="67" t="s">
        <v>117</v>
      </c>
    </row>
    <row r="183" spans="1:2" ht="12.75">
      <c r="A183" s="67" t="s">
        <v>110</v>
      </c>
      <c r="B183" s="81">
        <f>(D28*2.66*0.86*1)/35</f>
        <v>2.5830272000000006E-05</v>
      </c>
    </row>
    <row r="185" ht="12.75">
      <c r="A185" s="26" t="s">
        <v>118</v>
      </c>
    </row>
    <row r="186" ht="12.75">
      <c r="A186" s="67" t="s">
        <v>105</v>
      </c>
    </row>
    <row r="187" ht="12.75">
      <c r="A187" s="67" t="s">
        <v>119</v>
      </c>
    </row>
    <row r="188" spans="1:2" ht="12.75">
      <c r="A188" s="67" t="s">
        <v>110</v>
      </c>
      <c r="B188" s="107">
        <f>(D29*4.19*0.86*1)/(7*10^-2)</f>
        <v>0.05888985142857143</v>
      </c>
    </row>
    <row r="190" ht="12.75">
      <c r="A190" s="67" t="s">
        <v>112</v>
      </c>
    </row>
    <row r="191" ht="12.75">
      <c r="A191" s="67" t="s">
        <v>120</v>
      </c>
    </row>
    <row r="192" spans="1:2" ht="12.75">
      <c r="A192" s="67" t="s">
        <v>110</v>
      </c>
      <c r="B192" s="107">
        <f>(D29*2.66*0.86*1)/(7*10^-2)</f>
        <v>0.037385919999999996</v>
      </c>
    </row>
    <row r="194" ht="12.75">
      <c r="A194" s="26" t="s">
        <v>24</v>
      </c>
    </row>
    <row r="195" ht="12.75">
      <c r="A195" s="67" t="s">
        <v>105</v>
      </c>
    </row>
    <row r="196" ht="12.75">
      <c r="A196" s="67" t="s">
        <v>121</v>
      </c>
    </row>
    <row r="197" spans="1:2" ht="12.75">
      <c r="A197" s="67" t="s">
        <v>110</v>
      </c>
      <c r="B197" s="81">
        <f>(D30*4.19*0.86*1)/(7*10^2)</f>
        <v>0.0002141449142857143</v>
      </c>
    </row>
    <row r="198" ht="12.75">
      <c r="A198" s="67" t="s">
        <v>112</v>
      </c>
    </row>
    <row r="199" ht="12.75">
      <c r="A199" s="67" t="s">
        <v>122</v>
      </c>
    </row>
    <row r="200" spans="1:2" ht="12.75">
      <c r="A200" s="67" t="s">
        <v>110</v>
      </c>
      <c r="B200" s="81">
        <f>(D30*2.66*0.86*1)/(7*10^2)</f>
        <v>0.0001359488</v>
      </c>
    </row>
  </sheetData>
  <printOptions/>
  <pageMargins left="0.23" right="0.75" top="0.27" bottom="0.21" header="0.2" footer="0.17"/>
  <pageSetup horizontalDpi="600" verticalDpi="600" orientation="landscape" r:id="rId1"/>
  <headerFooter alignWithMargins="0">
    <oddFooter>&amp;C&amp;P&amp;R&amp;D</oddFooter>
  </headerFooter>
  <rowBreaks count="4" manualBreakCount="4">
    <brk id="46" max="255" man="1"/>
    <brk id="71" max="255" man="1"/>
    <brk id="11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Cheng</dc:creator>
  <cp:keywords/>
  <dc:description/>
  <cp:lastModifiedBy>kmangelsdorf</cp:lastModifiedBy>
  <cp:lastPrinted>2005-07-28T21:38:29Z</cp:lastPrinted>
  <dcterms:created xsi:type="dcterms:W3CDTF">2005-07-14T14:59:30Z</dcterms:created>
  <dcterms:modified xsi:type="dcterms:W3CDTF">2007-08-03T14:42:03Z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-1762432722</vt:i4>
  </property>
  <property fmtid="{D5CDD505-2E9C-101B-9397-08002B2CF9AE}" pid="3" name="_EmailSubject">
    <vt:lpwstr>http://aqmddev/permit/index.html</vt:lpwstr>
  </property>
  <property fmtid="{D5CDD505-2E9C-101B-9397-08002B2CF9AE}" pid="4" name="_AuthorEmail">
    <vt:lpwstr>mbalagopalan@aqmd.gov</vt:lpwstr>
  </property>
  <property fmtid="{D5CDD505-2E9C-101B-9397-08002B2CF9AE}" pid="5" name="_AuthorEmailDisplayName">
    <vt:lpwstr>Mohan Balagopalan</vt:lpwstr>
  </property>
  <property fmtid="{D5CDD505-2E9C-101B-9397-08002B2CF9AE}" pid="6" name="_PreviousAdHocReviewCycleID">
    <vt:i4>-1808184762</vt:i4>
  </property>
  <property fmtid="{D5CDD505-2E9C-101B-9397-08002B2CF9AE}" pid="7" name="_ReviewingToolsShownOnce">
    <vt:lpwstr/>
  </property>
</Properties>
</file>