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acmillan\Desktop\Mobile\Inventory\WG#4\"/>
    </mc:Choice>
  </mc:AlternateContent>
  <bookViews>
    <workbookView xWindow="0" yWindow="0" windowWidth="21570" windowHeight="10215"/>
  </bookViews>
  <sheets>
    <sheet name="Stacked 2023" sheetId="5" r:id="rId1"/>
    <sheet name="Summary" sheetId="4" r:id="rId2"/>
    <sheet name="On-Road" sheetId="1" r:id="rId3"/>
    <sheet name="Aircraft" sheetId="2" r:id="rId4"/>
    <sheet name="GSE" sheetId="3" r:id="rId5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D6" i="4" l="1"/>
  <c r="D20" i="2"/>
  <c r="D19" i="2"/>
  <c r="F19" i="2" s="1"/>
  <c r="D18" i="2"/>
  <c r="F18" i="2" s="1"/>
  <c r="E3" i="2"/>
  <c r="J3" i="2"/>
  <c r="E4" i="2"/>
  <c r="J4" i="2"/>
  <c r="E5" i="2"/>
  <c r="J5" i="2"/>
  <c r="E6" i="2"/>
  <c r="J6" i="2"/>
  <c r="E7" i="2"/>
  <c r="J7" i="2"/>
  <c r="E8" i="2"/>
  <c r="J8" i="2"/>
  <c r="N8" i="2"/>
  <c r="I19" i="2"/>
  <c r="K19" i="2" s="1"/>
  <c r="N9" i="2" s="1"/>
  <c r="I20" i="2"/>
  <c r="I18" i="2"/>
  <c r="K18" i="2" s="1"/>
  <c r="N10" i="2" s="1"/>
  <c r="K14" i="1" l="1"/>
  <c r="J5" i="1" l="1"/>
  <c r="I6" i="1"/>
  <c r="J6" i="1" s="1"/>
  <c r="K17" i="1" s="1"/>
  <c r="J4" i="1"/>
  <c r="M17" i="1" l="1"/>
  <c r="D6" i="1"/>
  <c r="Y4" i="1"/>
  <c r="Y6" i="1" s="1"/>
  <c r="R5" i="3"/>
  <c r="R3" i="3"/>
  <c r="R4" i="3"/>
  <c r="Y5" i="1" l="1"/>
  <c r="Y7" i="1" s="1"/>
  <c r="K15" i="1" s="1"/>
  <c r="C5" i="1"/>
  <c r="E5" i="1" s="1"/>
  <c r="E6" i="1" s="1"/>
  <c r="M15" i="1" l="1"/>
  <c r="C6" i="1"/>
  <c r="F5" i="1"/>
  <c r="F6" i="1" s="1"/>
  <c r="Q5" i="1"/>
  <c r="P4" i="1"/>
  <c r="O4" i="1"/>
  <c r="G5" i="1" l="1"/>
  <c r="H5" i="1"/>
  <c r="Q4" i="1"/>
  <c r="P5" i="1" s="1"/>
  <c r="Q6" i="1" l="1"/>
  <c r="K18" i="1" s="1"/>
  <c r="M18" i="1" s="1"/>
  <c r="G6" i="1"/>
  <c r="N17" i="1" s="1"/>
  <c r="O5" i="1"/>
  <c r="H6" i="1"/>
  <c r="O17" i="1" s="1"/>
  <c r="D18" i="1"/>
  <c r="D17" i="1"/>
  <c r="D16" i="1"/>
  <c r="D15" i="1"/>
  <c r="D14" i="1"/>
  <c r="C18" i="1"/>
  <c r="C17" i="1"/>
  <c r="C16" i="1"/>
  <c r="C15" i="1"/>
  <c r="C14" i="1"/>
  <c r="E14" i="1" s="1"/>
  <c r="L14" i="1" l="1"/>
  <c r="N15" i="3"/>
  <c r="O15" i="3" s="1"/>
  <c r="P6" i="1"/>
  <c r="O18" i="1" s="1"/>
  <c r="O6" i="1"/>
  <c r="N18" i="1" s="1"/>
  <c r="E16" i="1"/>
  <c r="E18" i="1"/>
  <c r="E17" i="1"/>
  <c r="E15" i="1"/>
  <c r="L17" i="1" l="1"/>
  <c r="N11" i="3"/>
  <c r="O11" i="3" s="1"/>
  <c r="L18" i="1"/>
  <c r="N12" i="3"/>
  <c r="O12" i="3" s="1"/>
  <c r="L15" i="1"/>
  <c r="N13" i="3"/>
  <c r="O13" i="3" s="1"/>
  <c r="N14" i="3"/>
  <c r="M16" i="1"/>
  <c r="M14" i="1"/>
  <c r="E19" i="1"/>
  <c r="K20" i="1"/>
  <c r="I2" i="3"/>
  <c r="H2" i="3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R6" i="3" l="1"/>
  <c r="R8" i="3" s="1"/>
  <c r="D5" i="4" s="1"/>
  <c r="M20" i="1"/>
  <c r="P17" i="1" l="1"/>
  <c r="D3" i="4" s="1"/>
  <c r="D4" i="4" l="1"/>
  <c r="D8" i="4"/>
  <c r="E4" i="4" s="1"/>
  <c r="E5" i="4" l="1"/>
  <c r="E6" i="4"/>
  <c r="E7" i="4"/>
  <c r="E3" i="4"/>
</calcChain>
</file>

<file path=xl/sharedStrings.xml><?xml version="1.0" encoding="utf-8"?>
<sst xmlns="http://schemas.openxmlformats.org/spreadsheetml/2006/main" count="918" uniqueCount="296">
  <si>
    <t>ONT</t>
  </si>
  <si>
    <t>LAX</t>
  </si>
  <si>
    <t>Burbank</t>
  </si>
  <si>
    <t>John Wayne</t>
  </si>
  <si>
    <t>Long Beach</t>
  </si>
  <si>
    <t>Tons NOX/day</t>
  </si>
  <si>
    <r>
      <rPr>
        <b/>
        <sz val="9"/>
        <rFont val="Calibri"/>
        <family val="2"/>
      </rPr>
      <t>Airport</t>
    </r>
  </si>
  <si>
    <r>
      <rPr>
        <b/>
        <sz val="9"/>
        <rFont val="Calibri"/>
        <family val="2"/>
      </rPr>
      <t>Type</t>
    </r>
  </si>
  <si>
    <r>
      <rPr>
        <sz val="9"/>
        <rFont val="Calibri"/>
        <family val="2"/>
      </rPr>
      <t>Bob Hope</t>
    </r>
  </si>
  <si>
    <r>
      <rPr>
        <sz val="9"/>
        <rFont val="Calibri"/>
        <family val="2"/>
      </rPr>
      <t>Aircraft</t>
    </r>
  </si>
  <si>
    <r>
      <rPr>
        <sz val="9"/>
        <rFont val="Calibri"/>
        <family val="2"/>
      </rPr>
      <t>APU</t>
    </r>
  </si>
  <si>
    <r>
      <rPr>
        <sz val="9"/>
        <rFont val="Calibri"/>
        <family val="2"/>
      </rPr>
      <t>Total</t>
    </r>
  </si>
  <si>
    <r>
      <rPr>
        <sz val="9"/>
        <rFont val="Calibri"/>
        <family val="2"/>
      </rPr>
      <t>John Wayne</t>
    </r>
  </si>
  <si>
    <r>
      <rPr>
        <sz val="9"/>
        <rFont val="Calibri"/>
        <family val="2"/>
      </rPr>
      <t>Long Beach</t>
    </r>
  </si>
  <si>
    <t>Ontario</t>
  </si>
  <si>
    <t>Total All Airports</t>
  </si>
  <si>
    <t>SubTotal</t>
  </si>
  <si>
    <t>NOx (tpd)</t>
  </si>
  <si>
    <t>NOx (tpy)</t>
  </si>
  <si>
    <t>NOX</t>
  </si>
  <si>
    <t>8720-Sweeper-D-120-Exhaust</t>
  </si>
  <si>
    <t>1210-DIESEL (UNSPECIFIED)</t>
  </si>
  <si>
    <t>889-AIRPORT GROUND SUPPORT EQUIPMENT</t>
  </si>
  <si>
    <t>860-OFF-ROAD EQUIPMENT</t>
  </si>
  <si>
    <t xml:space="preserve"> 860-889-1210-8720</t>
  </si>
  <si>
    <t>SOUTH COAST</t>
  </si>
  <si>
    <t>8070-Service Truck-D-175-Exhaust</t>
  </si>
  <si>
    <t xml:space="preserve"> 860-889-1210-8070</t>
  </si>
  <si>
    <t>6054-Passenger Stand-D-500-Exhaust</t>
  </si>
  <si>
    <t xml:space="preserve"> 860-889-1210-6054</t>
  </si>
  <si>
    <t>6050-Passenger Stand-D-120-Exhaust</t>
  </si>
  <si>
    <t xml:space="preserve"> 860-889-1210-6050</t>
  </si>
  <si>
    <t>5664-Other GSE-D-500-Exhaust</t>
  </si>
  <si>
    <t xml:space="preserve"> 860-889-1210-5664</t>
  </si>
  <si>
    <t>5660-Other GSE-D-175-Exhaust</t>
  </si>
  <si>
    <t xml:space="preserve"> 860-889-1210-5660</t>
  </si>
  <si>
    <t>4182-Lift-D-500-Exhaust</t>
  </si>
  <si>
    <t xml:space="preserve"> 860-889-1210-4182</t>
  </si>
  <si>
    <t>4180-Lift-D-120-Exhaust</t>
  </si>
  <si>
    <t xml:space="preserve"> 860-889-1210-4180</t>
  </si>
  <si>
    <t>4030-Lav Truck-D-175-Exhaust</t>
  </si>
  <si>
    <t xml:space="preserve"> 860-889-1210-4030</t>
  </si>
  <si>
    <t>3860-Hydrant Truck-D-175-Exhaust</t>
  </si>
  <si>
    <t xml:space="preserve"> 860-889-1210-3860</t>
  </si>
  <si>
    <t>3770-Ground Power Unit-D-175-Exhaust</t>
  </si>
  <si>
    <t xml:space="preserve"> 860-889-1210-3770</t>
  </si>
  <si>
    <t>3130-Generator-D-750-Exhaust</t>
  </si>
  <si>
    <t xml:space="preserve"> 860-889-1210-3130</t>
  </si>
  <si>
    <t>3120-Generator-D-500-Exhaust</t>
  </si>
  <si>
    <t xml:space="preserve"> 860-889-1210-3120</t>
  </si>
  <si>
    <t>3110-Generator-D-250-Exhaust</t>
  </si>
  <si>
    <t xml:space="preserve"> 860-889-1210-3110</t>
  </si>
  <si>
    <t>3100-Generator-D-175-Exhaust</t>
  </si>
  <si>
    <t xml:space="preserve"> 860-889-1210-3100</t>
  </si>
  <si>
    <t>3090-Generator-D-120-Exhaust</t>
  </si>
  <si>
    <t xml:space="preserve"> 860-889-1210-3090</t>
  </si>
  <si>
    <t>3020-Fuel Truck-D-250-Exhaust</t>
  </si>
  <si>
    <t xml:space="preserve"> 860-889-1210-3020</t>
  </si>
  <si>
    <t>2722-Forklifts-D-500-Exhaust</t>
  </si>
  <si>
    <t xml:space="preserve"> 860-889-1210-2722</t>
  </si>
  <si>
    <t>2720-Forklift-D-175-Exhaust</t>
  </si>
  <si>
    <t xml:space="preserve"> 860-889-1210-2720</t>
  </si>
  <si>
    <t>1090-Catering Truck-D-250-Exhaust</t>
  </si>
  <si>
    <t xml:space="preserve"> 860-889-1210-1090</t>
  </si>
  <si>
    <t>1012-Cargo Tractor-D-500-Exhaust</t>
  </si>
  <si>
    <t xml:space="preserve"> 860-889-1210-1012</t>
  </si>
  <si>
    <t>1010-Cargo Tractor-D-120-Exhaust</t>
  </si>
  <si>
    <t xml:space="preserve"> 860-889-1210-1010</t>
  </si>
  <si>
    <t>0992-Cargo Loader-D-750-Exhaust</t>
  </si>
  <si>
    <t xml:space="preserve"> 860-889-1210-0992</t>
  </si>
  <si>
    <t>0990-Cargo Loader-D-120-Exhaust</t>
  </si>
  <si>
    <t xml:space="preserve"> 860-889-1210-0990</t>
  </si>
  <si>
    <t>0822-Bobtail-D-250-Exhaust</t>
  </si>
  <si>
    <t xml:space="preserve"> 860-889-1210-0822</t>
  </si>
  <si>
    <t>0820-Bobtail-D-120-Exhaust</t>
  </si>
  <si>
    <t xml:space="preserve"> 860-889-1210-0820</t>
  </si>
  <si>
    <t>0792-Belt Loader-D-750-Exhaust</t>
  </si>
  <si>
    <t xml:space="preserve"> 860-889-1210-0792</t>
  </si>
  <si>
    <t>0790-Belt Loader-D-120-Exhaust</t>
  </si>
  <si>
    <t xml:space="preserve"> 860-889-1210-0790</t>
  </si>
  <si>
    <t>0722-Baggage Tug-D-250-Exhaust</t>
  </si>
  <si>
    <t xml:space="preserve"> 860-889-1210-0722</t>
  </si>
  <si>
    <t>0720-Baggage Tug-D-120-Exhaust</t>
  </si>
  <si>
    <t xml:space="preserve"> 860-889-1210-0720</t>
  </si>
  <si>
    <t>0620-Air Start Unit-D-750-Exhaust</t>
  </si>
  <si>
    <t xml:space="preserve"> 860-889-1210-0620</t>
  </si>
  <si>
    <t>0610-Air Start Unit-D-500-Exhaust</t>
  </si>
  <si>
    <t xml:space="preserve"> 860-889-1210-0610</t>
  </si>
  <si>
    <t>0600-Air Start Unit-D-250-Exhaust</t>
  </si>
  <si>
    <t xml:space="preserve"> 860-889-1210-0600</t>
  </si>
  <si>
    <t>0590-Air Start Unit-D-175-Exhaust</t>
  </si>
  <si>
    <t xml:space="preserve"> 860-889-1210-0590</t>
  </si>
  <si>
    <t>0570-Air Conditioner-D-500-Exhaust</t>
  </si>
  <si>
    <t xml:space="preserve"> 860-889-1210-0570</t>
  </si>
  <si>
    <t>0560-Air Conditioner-D-250-Exhaust</t>
  </si>
  <si>
    <t xml:space="preserve"> 860-889-1210-0560</t>
  </si>
  <si>
    <t>0550-Air Conditioner-D-175-Exhaust</t>
  </si>
  <si>
    <t xml:space="preserve"> 860-889-1210-0550</t>
  </si>
  <si>
    <t>0092-A/C Tug  Wide Body-D-750-Exhaust</t>
  </si>
  <si>
    <t xml:space="preserve"> 860-889-1210-0092</t>
  </si>
  <si>
    <t>0090-A/C Tug  Wide Body-D-500-Exhaust</t>
  </si>
  <si>
    <t xml:space="preserve"> 860-889-1210-0090</t>
  </si>
  <si>
    <t>0072-A/C Tug Narrow Body-D-750-Exhaust</t>
  </si>
  <si>
    <t xml:space="preserve"> 860-889-1210-0072</t>
  </si>
  <si>
    <t>0070-A/C Tug  Narrow Body-D-250-Exhaust</t>
  </si>
  <si>
    <t xml:space="preserve"> 860-889-1210-0070</t>
  </si>
  <si>
    <t>9695-Water Truck-G4-175-Evap</t>
  </si>
  <si>
    <t>1100-GASOLINE (UNSPECIFIED)</t>
  </si>
  <si>
    <t xml:space="preserve"> 860-889-1100-9695</t>
  </si>
  <si>
    <t>9694-Water Truck-G4-175-Exhaust</t>
  </si>
  <si>
    <t xml:space="preserve"> 860-889-1100-9694</t>
  </si>
  <si>
    <t>8715-Sweeper-G4-120-Evap</t>
  </si>
  <si>
    <t xml:space="preserve"> 860-889-1100-8715</t>
  </si>
  <si>
    <t>8714-Sweeper-G4-120-Exhaust</t>
  </si>
  <si>
    <t xml:space="preserve"> 860-889-1100-8714</t>
  </si>
  <si>
    <t>8085-Service Truck-G4-250-Evap</t>
  </si>
  <si>
    <t xml:space="preserve"> 860-889-1100-8085</t>
  </si>
  <si>
    <t>8084-Service Truck-G4-250-Exhaust</t>
  </si>
  <si>
    <t xml:space="preserve"> 860-889-1100-8084</t>
  </si>
  <si>
    <t>6065-Passenger Stand-G4-175-Evap</t>
  </si>
  <si>
    <t xml:space="preserve"> 860-889-1100-6065</t>
  </si>
  <si>
    <t>6064-Passenger Stand-G4-175-Exhaust</t>
  </si>
  <si>
    <t xml:space="preserve"> 860-889-1100-6064</t>
  </si>
  <si>
    <t>5655-Other GSE-G4-50-Evap</t>
  </si>
  <si>
    <t xml:space="preserve"> 860-889-1100-5655</t>
  </si>
  <si>
    <t>5654-Other GSE-G4-50-Exhaust</t>
  </si>
  <si>
    <t xml:space="preserve"> 860-889-1100-5654</t>
  </si>
  <si>
    <t>4285-Maint. Truck-G4-175-Evap</t>
  </si>
  <si>
    <t xml:space="preserve"> 860-889-1100-4285</t>
  </si>
  <si>
    <t>4284-Maint. Truck-G4-175-Exhaust</t>
  </si>
  <si>
    <t xml:space="preserve"> 860-889-1100-4284</t>
  </si>
  <si>
    <t>4165-Lift-G4-120-Evap</t>
  </si>
  <si>
    <t xml:space="preserve"> 860-889-1100-4165</t>
  </si>
  <si>
    <t>4164-Lift-G4-120-Exhaust</t>
  </si>
  <si>
    <t xml:space="preserve"> 860-889-1100-4164</t>
  </si>
  <si>
    <t>4015-Lav Truck-G4-175-Evap</t>
  </si>
  <si>
    <t xml:space="preserve"> 860-889-1100-4015</t>
  </si>
  <si>
    <t>4014-Lav Truck-G4-175-Exhaust</t>
  </si>
  <si>
    <t xml:space="preserve"> 860-889-1100-4014</t>
  </si>
  <si>
    <t>4005-Lav Cart-G4-15-Evap</t>
  </si>
  <si>
    <t xml:space="preserve"> 860-889-1100-4005</t>
  </si>
  <si>
    <t>4004-Lav Cart-G4-15-Exhaust</t>
  </si>
  <si>
    <t xml:space="preserve"> 860-889-1100-4004</t>
  </si>
  <si>
    <t>3855-Hydrant truck-G4-175-Evap</t>
  </si>
  <si>
    <t xml:space="preserve"> 860-889-1100-3855</t>
  </si>
  <si>
    <t>3854-Hydrant truck-G4-175-Exhaust</t>
  </si>
  <si>
    <t xml:space="preserve"> 860-889-1100-3854</t>
  </si>
  <si>
    <t>3765-Ground Power Unit-G4-175-Evap</t>
  </si>
  <si>
    <t xml:space="preserve"> 860-889-1100-3765</t>
  </si>
  <si>
    <t>3764-Ground Power Unit-G4-175-Exhaust</t>
  </si>
  <si>
    <t xml:space="preserve"> 860-889-1100-3764</t>
  </si>
  <si>
    <t>3085-Generator-G4-120-Evap</t>
  </si>
  <si>
    <t xml:space="preserve"> 860-889-1100-3085</t>
  </si>
  <si>
    <t>3084-Generator-G4-120-Exhaust</t>
  </si>
  <si>
    <t xml:space="preserve"> 860-889-1100-3084</t>
  </si>
  <si>
    <t>3005-Fuel Truck-G4-175-Evap</t>
  </si>
  <si>
    <t xml:space="preserve"> 860-889-1100-3005</t>
  </si>
  <si>
    <t>3004-Fuel Truck-G4-175-Exhaust</t>
  </si>
  <si>
    <t xml:space="preserve"> 860-889-1100-3004</t>
  </si>
  <si>
    <t>2705-Forklift-G4-50-Evap</t>
  </si>
  <si>
    <t xml:space="preserve"> 860-889-1100-2705</t>
  </si>
  <si>
    <t>2704-Forklift-G4-50-Exhaust</t>
  </si>
  <si>
    <t xml:space="preserve"> 860-889-1100-2704</t>
  </si>
  <si>
    <t>2285-Deicer-G4-120-Evap</t>
  </si>
  <si>
    <t xml:space="preserve"> 860-889-1100-2285</t>
  </si>
  <si>
    <t>2284-Deicer-G4-120-Exhaust</t>
  </si>
  <si>
    <t xml:space="preserve"> 860-889-1100-2284</t>
  </si>
  <si>
    <t>1075-Catering Truck-G4-250-Evap</t>
  </si>
  <si>
    <t xml:space="preserve"> 860-889-1100-1075</t>
  </si>
  <si>
    <t>1074-Catering Truck-G4-250-Exhaust</t>
  </si>
  <si>
    <t xml:space="preserve"> 860-889-1100-1074</t>
  </si>
  <si>
    <t>1035-Cart-G4-15-Evap</t>
  </si>
  <si>
    <t xml:space="preserve"> 860-889-1100-1035</t>
  </si>
  <si>
    <t>1034-Cart-G4-15-Exhaust</t>
  </si>
  <si>
    <t xml:space="preserve"> 860-889-1100-1034</t>
  </si>
  <si>
    <t>1005-Cargo Tractor-G4-120-Evap</t>
  </si>
  <si>
    <t xml:space="preserve"> 860-889-1100-1005</t>
  </si>
  <si>
    <t>1004-Cargo Tractor-G4-120-Exhaust</t>
  </si>
  <si>
    <t xml:space="preserve"> 860-889-1100-1004</t>
  </si>
  <si>
    <t>0975-Cargo Loader-G4-120-Evap</t>
  </si>
  <si>
    <t xml:space="preserve"> 860-889-1100-0975</t>
  </si>
  <si>
    <t>0974-Cargo Loader-G4-120-Exhaust</t>
  </si>
  <si>
    <t xml:space="preserve"> 860-889-1100-0974</t>
  </si>
  <si>
    <t>0805-Bobtail-G4-120-Evap</t>
  </si>
  <si>
    <t xml:space="preserve"> 860-889-1100-0805</t>
  </si>
  <si>
    <t>0804-Bobtail-G4-120-Exhaust</t>
  </si>
  <si>
    <t xml:space="preserve"> 860-889-1100-0804</t>
  </si>
  <si>
    <t>0775-Belt Loader-G4-120-Evap</t>
  </si>
  <si>
    <t xml:space="preserve"> 860-889-1100-0775</t>
  </si>
  <si>
    <t>0774-Belt Loader-G4-120-Exhaust</t>
  </si>
  <si>
    <t xml:space="preserve"> 860-889-1100-0774</t>
  </si>
  <si>
    <t>0705-Baggage Tug-G4-120-Evap</t>
  </si>
  <si>
    <t xml:space="preserve"> 860-889-1100-0705</t>
  </si>
  <si>
    <t>0704-Baggage Tug-G4-120-Exhaust</t>
  </si>
  <si>
    <t xml:space="preserve"> 860-889-1100-0704</t>
  </si>
  <si>
    <t>0585-Air Start Unit-G4-175-Evap</t>
  </si>
  <si>
    <t xml:space="preserve"> 860-889-1100-0585</t>
  </si>
  <si>
    <t>0584-Air Start Unit-G4-175-Exhaust</t>
  </si>
  <si>
    <t xml:space="preserve"> 860-889-1100-0584</t>
  </si>
  <si>
    <t>0535-Air Conditioner-G4-175-Evap</t>
  </si>
  <si>
    <t xml:space="preserve"> 860-889-1100-0535</t>
  </si>
  <si>
    <t>0534-Air Conditioner-G4-175-Exhaust</t>
  </si>
  <si>
    <t xml:space="preserve"> 860-889-1100-0534</t>
  </si>
  <si>
    <t>0085-A/C Tug  Wide Body-G4-500-Evap</t>
  </si>
  <si>
    <t xml:space="preserve"> 860-889-1100-0085</t>
  </si>
  <si>
    <t>0084-A/C Tug  Wide Body-G4-500-Exhaust</t>
  </si>
  <si>
    <t xml:space="preserve"> 860-889-1100-0084</t>
  </si>
  <si>
    <t>0055-A/C Tug  Narrow Body-G4-175-Evap</t>
  </si>
  <si>
    <t xml:space="preserve"> 860-889-1100-0055</t>
  </si>
  <si>
    <t>0054-A/C Tug  Narrow Body-G4-175-Exhaust</t>
  </si>
  <si>
    <t xml:space="preserve"> 860-889-1100-0054</t>
  </si>
  <si>
    <t>8700-Sweeper-C4-50-Exhaust</t>
  </si>
  <si>
    <t>0110-NATURAL GAS</t>
  </si>
  <si>
    <t xml:space="preserve"> 860-889-0110-8700</t>
  </si>
  <si>
    <t>8090-Service Truck-C4-250-Exhaust</t>
  </si>
  <si>
    <t xml:space="preserve"> 860-889-0110-8090</t>
  </si>
  <si>
    <t>6070-Passenger Stand-C4-175-Exhaust</t>
  </si>
  <si>
    <t xml:space="preserve"> 860-889-0110-6070</t>
  </si>
  <si>
    <t>4800-Other-C4-50-Exhaust</t>
  </si>
  <si>
    <t xml:space="preserve"> 860-889-0110-4800</t>
  </si>
  <si>
    <t>4170-Lift-C4-120-Exhaust</t>
  </si>
  <si>
    <t xml:space="preserve"> 860-889-0110-4170</t>
  </si>
  <si>
    <t>4020-Lav Truck-C4-175-Exhaust</t>
  </si>
  <si>
    <t xml:space="preserve"> 860-889-0110-4020</t>
  </si>
  <si>
    <t>3010-Fuel Truck-C4-175-Exhaust</t>
  </si>
  <si>
    <t xml:space="preserve"> 860-889-0110-3010</t>
  </si>
  <si>
    <t>2710-Forklift-C4-50-Exhaust</t>
  </si>
  <si>
    <t xml:space="preserve"> 860-889-0110-2710</t>
  </si>
  <si>
    <t>1080-Catering Truck-C4-250-Exhaust</t>
  </si>
  <si>
    <t xml:space="preserve"> 860-889-0110-1080</t>
  </si>
  <si>
    <t>1020-Cargo Tractor-C4-175-Exhaust</t>
  </si>
  <si>
    <t xml:space="preserve"> 860-889-0110-1020</t>
  </si>
  <si>
    <t>0980-Cargo Loader-C4-120-Exhaust</t>
  </si>
  <si>
    <t xml:space="preserve"> 860-889-0110-0980</t>
  </si>
  <si>
    <t>0810-Bobtail-C4-120-Exhaust</t>
  </si>
  <si>
    <t xml:space="preserve"> 860-889-0110-0810</t>
  </si>
  <si>
    <t>0780-Belt Loader-C4-120-Exhaust</t>
  </si>
  <si>
    <t xml:space="preserve"> 860-889-0110-0780</t>
  </si>
  <si>
    <t>0710-Baggage Tug-C4-120-Exhaust</t>
  </si>
  <si>
    <t xml:space="preserve"> 860-889-0110-0710</t>
  </si>
  <si>
    <t>0540-Air Conditioner-C4-175-Exhaust</t>
  </si>
  <si>
    <t xml:space="preserve"> 860-889-0110-0540</t>
  </si>
  <si>
    <t>POLLUTANT</t>
  </si>
  <si>
    <t>EICSUB</t>
  </si>
  <si>
    <t>EICMAT</t>
  </si>
  <si>
    <t>EICSOU</t>
  </si>
  <si>
    <t>EICSUM</t>
  </si>
  <si>
    <t>EIC</t>
  </si>
  <si>
    <t>AREA</t>
  </si>
  <si>
    <t>Total</t>
  </si>
  <si>
    <t>Ton/year</t>
  </si>
  <si>
    <t>Lbs/day</t>
  </si>
  <si>
    <t>LAX 2012 Emissions Inventory Table 12</t>
  </si>
  <si>
    <t>Projected</t>
  </si>
  <si>
    <t>LTO/Day</t>
  </si>
  <si>
    <t>Estimated 2023</t>
  </si>
  <si>
    <t>LAX BAU Emissions Inventory Table 16</t>
  </si>
  <si>
    <t>On-Road NOX Emissions</t>
  </si>
  <si>
    <t>Ontario BAU Emissions Inventory Table 16</t>
  </si>
  <si>
    <t>HD</t>
  </si>
  <si>
    <t>LD</t>
  </si>
  <si>
    <t>Ontario 2012 Emissions Inventory Tables E-1 &amp; E-2</t>
  </si>
  <si>
    <t>JWA</t>
  </si>
  <si>
    <t>Table 3.1-10 JWA EIR</t>
  </si>
  <si>
    <t>LAX Emissions Inventories</t>
  </si>
  <si>
    <t>ONT Emissions Inventories</t>
  </si>
  <si>
    <t>LGB</t>
  </si>
  <si>
    <t>BUR</t>
  </si>
  <si>
    <t>lb/day</t>
  </si>
  <si>
    <t>LAX (ton/yr)</t>
  </si>
  <si>
    <t>Off-Airport</t>
  </si>
  <si>
    <t>On-Airport</t>
  </si>
  <si>
    <t>tpy</t>
  </si>
  <si>
    <t>Terminal EIR table 3.4-5</t>
  </si>
  <si>
    <t>LD Total</t>
  </si>
  <si>
    <t>2023 Lbs/LTO</t>
  </si>
  <si>
    <t>Not Available</t>
  </si>
  <si>
    <t>Airport On-Road Emissions</t>
  </si>
  <si>
    <t>From Previous Reports</t>
  </si>
  <si>
    <t>Final Estimate</t>
  </si>
  <si>
    <t>On-Road (Light Duty)</t>
  </si>
  <si>
    <t>On-Road (Heavy Duty)</t>
  </si>
  <si>
    <t>GSE</t>
  </si>
  <si>
    <t>Aircraft</t>
  </si>
  <si>
    <t>APU</t>
  </si>
  <si>
    <t>Burbank EIR Appendix F</t>
  </si>
  <si>
    <t>LTO/day</t>
  </si>
  <si>
    <t>ton/LTO</t>
  </si>
  <si>
    <t>Projected from BUR &amp; JWA</t>
  </si>
  <si>
    <t>Ont</t>
  </si>
  <si>
    <t>2012 (Integra Report)</t>
  </si>
  <si>
    <t>2040 (Integra Report)</t>
  </si>
  <si>
    <t>2023 (SIP Inventory)</t>
  </si>
  <si>
    <t>SIP Total</t>
  </si>
  <si>
    <t>tpd</t>
  </si>
  <si>
    <t>Landing/Take-Offs (LTO)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</si>
</sst>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##0.00;###0.00"/>
    <numFmt numFmtId="166" formatCode="#,##0.0"/>
    <numFmt numFmtId="167" formatCode="0.0"/>
    <numFmt numFmtId="168" formatCode="#,##0.0_);\(#,##0.0\)"/>
    <numFmt numFmtId="169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164" fontId="0" fillId="0" borderId="0" xfId="1" applyNumberFormat="1" applyFont="1"/>
    <xf numFmtId="43" fontId="0" fillId="0" borderId="0" xfId="0" applyNumberFormat="1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2" fillId="3" borderId="6" xfId="0" applyFont="1" applyFill="1" applyBorder="1"/>
    <xf numFmtId="167" fontId="0" fillId="0" borderId="6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167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167" fontId="0" fillId="0" borderId="0" xfId="0" applyNumberFormat="1"/>
    <xf numFmtId="0" fontId="0" fillId="0" borderId="0" xfId="0" applyAlignment="1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2" applyFont="1"/>
    <xf numFmtId="0" fontId="2" fillId="0" borderId="0" xfId="0" applyFont="1" applyFill="1"/>
    <xf numFmtId="167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67" fontId="2" fillId="0" borderId="0" xfId="0" applyNumberFormat="1" applyFont="1" applyFill="1" applyAlignment="1">
      <alignment horizontal="center"/>
    </xf>
    <xf numFmtId="9" fontId="0" fillId="0" borderId="0" xfId="2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5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169" fontId="0" fillId="0" borderId="0" xfId="0" applyNumberFormat="1" applyAlignment="1">
      <alignment horizontal="left"/>
    </xf>
    <xf numFmtId="0" fontId="0" fillId="0" borderId="0" xfId="0" applyBorder="1" applyAlignment="1">
      <alignment horizontal="right"/>
    </xf>
    <xf numFmtId="167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7" fillId="0" borderId="10" xfId="3" applyFill="1" applyBorder="1" applyAlignment="1">
      <alignment horizontal="center"/>
    </xf>
    <xf numFmtId="0" fontId="2" fillId="0" borderId="0" xfId="0" applyFont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/>
    <xf numFmtId="167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167" fontId="2" fillId="0" borderId="17" xfId="0" applyNumberFormat="1" applyFont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effectLst/>
              </a:rPr>
              <a:t>Estimated 2023 NOx Emissions Associated with Airports</a:t>
            </a:r>
            <a:endParaRPr lang="en-US" sz="2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73031253130829E-2"/>
          <c:y val="0.11300358874308129"/>
          <c:w val="0.8891024714687582"/>
          <c:h val="0.8596442103890693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Summary!$C$7</c:f>
              <c:strCache>
                <c:ptCount val="1"/>
                <c:pt idx="0">
                  <c:v>Aircraft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642569411517027"/>
                  <c:y val="0"/>
                </c:manualLayout>
              </c:layout>
              <c:tx>
                <c:rich>
                  <a:bodyPr/>
                  <a:lstStyle/>
                  <a:p>
                    <a:fld id="{948D0B37-C727-44BF-A00D-4369CC7201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Summary!$D$7</c:f>
              <c:numCache>
                <c:formatCode>0.0</c:formatCode>
                <c:ptCount val="1"/>
                <c:pt idx="0">
                  <c:v>15.523695254973719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Summary!$E$7</c15:f>
                <c15:dlblRangeCache>
                  <c:ptCount val="1"/>
                  <c:pt idx="0">
                    <c:v>66%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Summary!$C$4</c:f>
              <c:strCache>
                <c:ptCount val="1"/>
                <c:pt idx="0">
                  <c:v>On-Road (Heavy Duty)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642569411517027"/>
                  <c:y val="0"/>
                </c:manualLayout>
              </c:layout>
              <c:tx>
                <c:rich>
                  <a:bodyPr/>
                  <a:lstStyle/>
                  <a:p>
                    <a:fld id="{02A444D3-754E-43A5-AD42-18AF1668E6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Summary!$D$4</c:f>
              <c:numCache>
                <c:formatCode>0.0</c:formatCode>
                <c:ptCount val="1"/>
                <c:pt idx="0">
                  <c:v>4.8721586808242723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Summary!$E$4</c15:f>
                <c15:dlblRangeCache>
                  <c:ptCount val="1"/>
                  <c:pt idx="0">
                    <c:v>21%</c:v>
                  </c:pt>
                </c15:dlblRangeCache>
              </c15:datalabelsRange>
            </c:ext>
          </c:extLst>
        </c:ser>
        <c:ser>
          <c:idx val="0"/>
          <c:order val="2"/>
          <c:tx>
            <c:strRef>
              <c:f>Summary!$C$3</c:f>
              <c:strCache>
                <c:ptCount val="1"/>
                <c:pt idx="0">
                  <c:v>On-Road (Light Duty)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349396733733193"/>
                  <c:y val="0"/>
                </c:manualLayout>
              </c:layout>
              <c:tx>
                <c:rich>
                  <a:bodyPr/>
                  <a:lstStyle/>
                  <a:p>
                    <a:fld id="{BD6A07C6-A50B-4475-A6D3-ED3B6A3B0F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Summary!$D$3</c:f>
              <c:numCache>
                <c:formatCode>0.0</c:formatCode>
                <c:ptCount val="1"/>
                <c:pt idx="0">
                  <c:v>2.0398285350336289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Summary!$E$3</c15:f>
                <c15:dlblRangeCache>
                  <c:ptCount val="1"/>
                  <c:pt idx="0">
                    <c:v>9%</c:v>
                  </c:pt>
                </c15:dlblRangeCache>
              </c15:datalabelsRange>
            </c:ext>
          </c:extLst>
        </c:ser>
        <c:ser>
          <c:idx val="2"/>
          <c:order val="3"/>
          <c:tx>
            <c:strRef>
              <c:f>Summary!$C$5</c:f>
              <c:strCache>
                <c:ptCount val="1"/>
                <c:pt idx="0">
                  <c:v>GSE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9349396733733193"/>
                  <c:y val="-1.8510619440101193E-17"/>
                </c:manualLayout>
              </c:layout>
              <c:tx>
                <c:rich>
                  <a:bodyPr/>
                  <a:lstStyle/>
                  <a:p>
                    <a:fld id="{59A01223-1B38-4C60-A952-4DB08D2C00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Summary!$D$5</c:f>
              <c:numCache>
                <c:formatCode>0.0</c:formatCode>
                <c:ptCount val="1"/>
                <c:pt idx="0">
                  <c:v>0.63350553755093153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Summary!$E$5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</c:extLst>
        </c:ser>
        <c:ser>
          <c:idx val="3"/>
          <c:order val="4"/>
          <c:tx>
            <c:strRef>
              <c:f>Summary!$C$6</c:f>
              <c:strCache>
                <c:ptCount val="1"/>
                <c:pt idx="0">
                  <c:v>APU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20277777777777778"/>
                  <c:y val="2.1218890680033321E-17"/>
                </c:manualLayout>
              </c:layout>
              <c:tx>
                <c:rich>
                  <a:bodyPr/>
                  <a:lstStyle/>
                  <a:p>
                    <a:fld id="{BA2E95F3-577D-4A75-A2FE-E7F26763D9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Summary!$D$6</c:f>
              <c:numCache>
                <c:formatCode>0.0</c:formatCode>
                <c:ptCount val="1"/>
                <c:pt idx="0">
                  <c:v>0.54016525063197485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Summary!$E$6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19137736"/>
        <c:axId val="319138912"/>
      </c:barChart>
      <c:catAx>
        <c:axId val="319137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9138912"/>
        <c:crosses val="autoZero"/>
        <c:auto val="1"/>
        <c:lblAlgn val="ctr"/>
        <c:lblOffset val="100"/>
        <c:noMultiLvlLbl val="0"/>
      </c:catAx>
      <c:valAx>
        <c:axId val="319138912"/>
        <c:scaling>
          <c:orientation val="minMax"/>
          <c:max val="2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Estimated</a:t>
                </a:r>
                <a:r>
                  <a:rPr lang="en-US" sz="1800" baseline="0"/>
                  <a:t> 2023 NOx (ton/day)</a:t>
                </a:r>
                <a:endParaRPr lang="en-US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13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84577685911875"/>
          <c:y val="0.40973380971234402"/>
          <c:w val="0.22636151007475216"/>
          <c:h val="0.2531789076673806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0.44111</cdr:x>
      <cdr:y>0.14916</cdr:y>
    </cdr:from>
    <cdr:to>
      <cdr:x>0.65529</cdr:x>
      <cdr:y>0.19437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21689" y="938070"/>
          <a:ext cx="1855621" cy="2843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 i="1" u="none"/>
            <a:t>Total ≈24 ton/day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rb.ca.gov/app/emsinv/fcemssumcat/fcemssumcat2016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8"/>
  <sheetViews>
    <sheetView workbookViewId="0">
      <selection activeCell="D5" sqref="D5"/>
    </sheetView>
  </sheetViews>
  <sheetFormatPr defaultRowHeight="15" x14ac:dyDescent="0.25"/>
  <sheetData>
    <row r="3" spans="3:5" x14ac:dyDescent="0.25">
      <c r="C3" s="29" t="s">
        <v>280</v>
      </c>
      <c r="D3" s="32">
        <f>'On-Road'!M20*(1-'On-Road'!P17)</f>
        <v>2.0398285350336289</v>
      </c>
      <c r="E3" s="50">
        <f>D3/D$8</f>
        <v>8.6399170390437582E-2</v>
      </c>
    </row>
    <row r="4" spans="3:5" x14ac:dyDescent="0.25">
      <c r="C4" s="29" t="s">
        <v>281</v>
      </c>
      <c r="D4" s="32">
        <f>'On-Road'!M20*'On-Road'!P17</f>
        <v>4.8721586808242723</v>
      </c>
      <c r="E4" s="50">
        <f t="shared" ref="E4:E7" si="0">D4/D$8</f>
        <v>0.20636561397394418</v>
      </c>
    </row>
    <row r="5" spans="3:5" x14ac:dyDescent="0.25">
      <c r="C5" s="29" t="s">
        <v>282</v>
      </c>
      <c r="D5" s="32">
        <f>GSE!R8</f>
        <v>0.63350553755093153</v>
      </c>
      <c r="E5" s="50">
        <f t="shared" si="0"/>
        <v>2.6832820475886875E-2</v>
      </c>
    </row>
    <row r="6" spans="3:5" x14ac:dyDescent="0.25">
      <c r="C6" s="29" t="s">
        <v>284</v>
      </c>
      <c r="D6" s="32">
        <f>Aircraft!N9</f>
        <v>0.54016525063197485</v>
      </c>
      <c r="E6" s="50">
        <f t="shared" si="0"/>
        <v>2.2879290453487067E-2</v>
      </c>
    </row>
    <row r="7" spans="3:5" x14ac:dyDescent="0.25">
      <c r="C7" s="29" t="s">
        <v>283</v>
      </c>
      <c r="D7" s="32">
        <f>Aircraft!N10</f>
        <v>15.523695254973719</v>
      </c>
      <c r="E7" s="50">
        <f t="shared" si="0"/>
        <v>0.65752310470624431</v>
      </c>
    </row>
    <row r="8" spans="3:5" x14ac:dyDescent="0.25">
      <c r="C8" s="52" t="s">
        <v>249</v>
      </c>
      <c r="D8" s="51">
        <f>SUM(D3:D7)</f>
        <v>23.609353259014526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opLeftCell="B1" workbookViewId="0">
      <selection activeCell="O10" sqref="O10"/>
    </sheetView>
  </sheetViews>
  <sheetFormatPr defaultRowHeight="15" x14ac:dyDescent="0.25"/>
  <cols>
    <col min="1" max="1" width="37" customWidth="1"/>
    <col min="2" max="2" width="12.140625" customWidth="1"/>
    <col min="3" max="3" width="10" customWidth="1"/>
    <col min="4" max="5" width="13.5703125" customWidth="1"/>
    <col min="6" max="6" width="8.42578125" bestFit="1" customWidth="1"/>
    <col min="7" max="8" width="8.42578125" customWidth="1"/>
    <col min="9" max="10" width="6.42578125" customWidth="1"/>
    <col min="11" max="12" width="19.28515625" customWidth="1"/>
  </cols>
  <sheetData>
    <row r="1" spans="1:31" ht="15.75" thickBot="1" x14ac:dyDescent="0.3">
      <c r="B1" s="79" t="s">
        <v>269</v>
      </c>
      <c r="C1" s="80"/>
      <c r="D1" s="80"/>
      <c r="E1" s="80"/>
      <c r="F1" s="80"/>
      <c r="G1" s="80"/>
      <c r="H1" s="80"/>
      <c r="I1" s="80"/>
      <c r="J1" s="80"/>
      <c r="K1" s="80"/>
      <c r="L1" s="81"/>
      <c r="N1" s="79" t="s">
        <v>14</v>
      </c>
      <c r="O1" s="80"/>
      <c r="P1" s="80"/>
      <c r="Q1" s="80"/>
      <c r="R1" s="80"/>
      <c r="S1" s="80"/>
      <c r="T1" s="80"/>
      <c r="U1" s="80"/>
      <c r="V1" s="81"/>
      <c r="W1" s="78"/>
      <c r="X1" s="79" t="s">
        <v>262</v>
      </c>
      <c r="Y1" s="81"/>
      <c r="AA1" s="79" t="s">
        <v>2</v>
      </c>
      <c r="AB1" s="80"/>
      <c r="AC1" s="80"/>
      <c r="AD1" s="80"/>
      <c r="AE1" s="81"/>
    </row>
    <row r="2" spans="1:31" x14ac:dyDescent="0.25">
      <c r="C2" s="65" t="s">
        <v>270</v>
      </c>
      <c r="D2" s="65"/>
      <c r="E2" s="65" t="s">
        <v>271</v>
      </c>
      <c r="F2" s="65"/>
      <c r="G2" s="65" t="s">
        <v>249</v>
      </c>
      <c r="H2" s="65"/>
      <c r="I2" s="65"/>
      <c r="K2" s="5"/>
      <c r="O2" s="5" t="s">
        <v>250</v>
      </c>
      <c r="P2" s="5" t="s">
        <v>250</v>
      </c>
      <c r="Q2" s="5" t="s">
        <v>251</v>
      </c>
      <c r="Y2" s="6" t="s">
        <v>268</v>
      </c>
      <c r="AB2" s="6" t="s">
        <v>268</v>
      </c>
    </row>
    <row r="3" spans="1:31" x14ac:dyDescent="0.25">
      <c r="C3" s="42" t="s">
        <v>259</v>
      </c>
      <c r="D3" s="42" t="s">
        <v>260</v>
      </c>
      <c r="E3" s="42" t="s">
        <v>259</v>
      </c>
      <c r="F3" s="42" t="s">
        <v>260</v>
      </c>
      <c r="G3" s="42" t="s">
        <v>259</v>
      </c>
      <c r="H3" s="42" t="s">
        <v>260</v>
      </c>
      <c r="I3" s="42" t="s">
        <v>249</v>
      </c>
      <c r="J3" s="42" t="s">
        <v>251</v>
      </c>
      <c r="K3" s="5"/>
      <c r="O3" s="5" t="s">
        <v>259</v>
      </c>
      <c r="P3" s="5" t="s">
        <v>260</v>
      </c>
      <c r="Q3" s="5" t="s">
        <v>249</v>
      </c>
      <c r="Y3" s="6" t="s">
        <v>249</v>
      </c>
      <c r="AB3" s="6" t="s">
        <v>274</v>
      </c>
    </row>
    <row r="4" spans="1:31" x14ac:dyDescent="0.25">
      <c r="A4" s="66" t="s">
        <v>257</v>
      </c>
      <c r="B4" s="5">
        <v>2012</v>
      </c>
      <c r="F4" s="41"/>
      <c r="G4" s="41"/>
      <c r="H4" s="41"/>
      <c r="I4" s="37">
        <v>2715.97</v>
      </c>
      <c r="J4" s="41">
        <f>I4*2000/365</f>
        <v>14882.027397260274</v>
      </c>
      <c r="K4" t="s">
        <v>252</v>
      </c>
      <c r="N4" s="4">
        <v>2012</v>
      </c>
      <c r="O4" s="37">
        <f>1097.308+97.974</f>
        <v>1195.2819999999999</v>
      </c>
      <c r="P4" s="37">
        <f>153.387+18.421+10.52+1.645</f>
        <v>183.97300000000001</v>
      </c>
      <c r="Q4" s="37">
        <f>(P4+O4)*2000/365</f>
        <v>7557.5616438356155</v>
      </c>
      <c r="R4" t="s">
        <v>261</v>
      </c>
      <c r="X4">
        <v>2013</v>
      </c>
      <c r="Y4" s="36">
        <f>678.3+19.9</f>
        <v>698.19999999999993</v>
      </c>
      <c r="AA4">
        <v>2015</v>
      </c>
      <c r="AB4">
        <v>109</v>
      </c>
      <c r="AC4" t="s">
        <v>273</v>
      </c>
    </row>
    <row r="5" spans="1:31" x14ac:dyDescent="0.25">
      <c r="A5" s="66"/>
      <c r="B5" s="5">
        <v>2024</v>
      </c>
      <c r="C5" s="36">
        <f>77.741+801.141</f>
        <v>878.88199999999995</v>
      </c>
      <c r="D5" s="36">
        <v>257.39800000000002</v>
      </c>
      <c r="E5" s="36">
        <f>(I5-SUM(C5:D5))*C5/(SUM(C5:D5))</f>
        <v>118.69718002604994</v>
      </c>
      <c r="F5" s="36">
        <f>(I5-SUM(C5:D5))*D5/(SUM(C5:D5))</f>
        <v>34.762819973950094</v>
      </c>
      <c r="G5" s="36">
        <f>E5+C5</f>
        <v>997.57918002604993</v>
      </c>
      <c r="H5" s="36">
        <f>F5+D5</f>
        <v>292.16081997395014</v>
      </c>
      <c r="I5" s="37">
        <v>1289.74</v>
      </c>
      <c r="J5" s="41">
        <f>I5*2000/365</f>
        <v>7067.0684931506848</v>
      </c>
      <c r="K5" t="s">
        <v>256</v>
      </c>
      <c r="N5" s="4">
        <v>2027</v>
      </c>
      <c r="O5" s="37">
        <f>(O4/Q4)*Q5</f>
        <v>504.66499317530122</v>
      </c>
      <c r="P5" s="37">
        <f>(P4/Q4)*Q5</f>
        <v>77.67600682469886</v>
      </c>
      <c r="Q5" s="37">
        <f>582.341*2000/365</f>
        <v>3190.9095890410958</v>
      </c>
      <c r="R5" t="s">
        <v>258</v>
      </c>
      <c r="X5">
        <v>2021</v>
      </c>
      <c r="Y5" s="36">
        <f>Y4+100.5-3.5</f>
        <v>795.19999999999993</v>
      </c>
      <c r="AA5">
        <v>2023</v>
      </c>
      <c r="AB5">
        <v>62</v>
      </c>
      <c r="AC5" t="s">
        <v>273</v>
      </c>
    </row>
    <row r="6" spans="1:31" x14ac:dyDescent="0.25">
      <c r="A6" s="66"/>
      <c r="B6" s="5">
        <v>2023</v>
      </c>
      <c r="C6" s="36">
        <f>(C5/$I5)*$I6</f>
        <v>959.87299268457116</v>
      </c>
      <c r="D6" s="36">
        <f>(D5/$I5)*$I6</f>
        <v>281.11781623815631</v>
      </c>
      <c r="E6" s="36">
        <f>(E5/$I5)*$I6</f>
        <v>129.63539748774451</v>
      </c>
      <c r="F6" s="36">
        <f>(F5/$I5)*$I6</f>
        <v>37.966293589526771</v>
      </c>
      <c r="G6" s="36">
        <f>E6+C6</f>
        <v>1089.5083901723156</v>
      </c>
      <c r="H6" s="36">
        <f>F6+D6</f>
        <v>319.08410982768305</v>
      </c>
      <c r="I6" s="37">
        <f>TREND(I4:I5,B4:B5,B6)</f>
        <v>1408.5924999999988</v>
      </c>
      <c r="J6" s="41">
        <f>I6*2000/365</f>
        <v>7718.3150684931443</v>
      </c>
      <c r="K6" t="s">
        <v>253</v>
      </c>
      <c r="N6" s="4">
        <v>2023</v>
      </c>
      <c r="O6" s="37">
        <f>(O4/Q4)*Q6</f>
        <v>688.8295283285438</v>
      </c>
      <c r="P6" s="37">
        <f>(P4/Q4)*Q6</f>
        <v>106.02187167144423</v>
      </c>
      <c r="Q6" s="37">
        <f>TREND(Q4:Q5,N4:N5,N6)</f>
        <v>4355.3501369862352</v>
      </c>
      <c r="R6" t="s">
        <v>253</v>
      </c>
      <c r="X6">
        <v>2026</v>
      </c>
      <c r="Y6" s="36">
        <f>Y4+100.5-2.4</f>
        <v>796.3</v>
      </c>
    </row>
    <row r="7" spans="1:31" x14ac:dyDescent="0.25">
      <c r="B7" s="6"/>
      <c r="K7" s="37"/>
      <c r="L7" s="40"/>
      <c r="X7">
        <v>2023</v>
      </c>
      <c r="Y7" s="36">
        <f>AVERAGE(Y5:Y6)</f>
        <v>795.75</v>
      </c>
    </row>
    <row r="8" spans="1:31" ht="15.75" thickBot="1" x14ac:dyDescent="0.3">
      <c r="B8" s="5"/>
    </row>
    <row r="9" spans="1:31" ht="30" customHeight="1" x14ac:dyDescent="0.25">
      <c r="C9" s="2"/>
      <c r="E9" s="2"/>
      <c r="F9" s="2"/>
      <c r="G9" s="2"/>
      <c r="H9" s="2"/>
      <c r="I9" s="2"/>
      <c r="J9" s="2"/>
      <c r="K9" s="56" t="s">
        <v>255</v>
      </c>
      <c r="M9" s="82" t="s">
        <v>279</v>
      </c>
    </row>
    <row r="10" spans="1:31" x14ac:dyDescent="0.25">
      <c r="C10" s="2"/>
      <c r="E10" s="2"/>
      <c r="F10" s="2"/>
      <c r="G10" s="2"/>
      <c r="H10" s="2"/>
      <c r="I10" s="2"/>
      <c r="J10" s="2"/>
      <c r="K10" s="56" t="s">
        <v>277</v>
      </c>
      <c r="M10" s="83"/>
    </row>
    <row r="11" spans="1:31" x14ac:dyDescent="0.25">
      <c r="J11" s="35"/>
      <c r="K11" s="56" t="s">
        <v>278</v>
      </c>
      <c r="M11" s="83"/>
    </row>
    <row r="12" spans="1:31" x14ac:dyDescent="0.25">
      <c r="A12" s="66" t="s">
        <v>295</v>
      </c>
      <c r="C12" s="65" t="s">
        <v>254</v>
      </c>
      <c r="D12" s="65"/>
      <c r="E12" s="65"/>
      <c r="F12" s="65"/>
      <c r="G12" s="65"/>
      <c r="H12" s="65"/>
      <c r="I12" s="5"/>
      <c r="J12" s="5"/>
      <c r="K12" s="56" t="s">
        <v>5</v>
      </c>
      <c r="L12" s="42" t="s">
        <v>275</v>
      </c>
      <c r="M12" s="83"/>
      <c r="N12" s="42" t="s">
        <v>259</v>
      </c>
      <c r="O12" s="42" t="s">
        <v>260</v>
      </c>
    </row>
    <row r="13" spans="1:31" x14ac:dyDescent="0.25">
      <c r="A13" s="66"/>
      <c r="C13" s="5">
        <v>2012</v>
      </c>
      <c r="D13" s="5">
        <v>2040</v>
      </c>
      <c r="E13" s="5">
        <v>2023</v>
      </c>
      <c r="F13" s="38"/>
      <c r="G13" s="38"/>
      <c r="H13" s="38"/>
      <c r="M13" s="84"/>
    </row>
    <row r="14" spans="1:31" x14ac:dyDescent="0.25">
      <c r="A14" s="66"/>
      <c r="B14" t="s">
        <v>2</v>
      </c>
      <c r="C14" s="36">
        <f>67818/365</f>
        <v>185.8027397260274</v>
      </c>
      <c r="D14" s="37">
        <f>86442/365</f>
        <v>236.82739726027398</v>
      </c>
      <c r="E14" s="36">
        <f>TREND(C14:D14,C$13:D$13,E$13)</f>
        <v>205.84814090019563</v>
      </c>
      <c r="G14" s="36"/>
      <c r="H14" s="32"/>
      <c r="I14" s="43"/>
      <c r="J14" s="43"/>
      <c r="K14" s="39">
        <f>AB5/2000</f>
        <v>3.1E-2</v>
      </c>
      <c r="L14" s="32">
        <f>K14*2000/E14</f>
        <v>0.30119290720269543</v>
      </c>
      <c r="M14" s="85">
        <f>L15*E14/2000</f>
        <v>0.23116436640127638</v>
      </c>
    </row>
    <row r="15" spans="1:31" x14ac:dyDescent="0.25">
      <c r="A15" s="66"/>
      <c r="B15" t="s">
        <v>3</v>
      </c>
      <c r="C15" s="36">
        <f>131991/365</f>
        <v>361.61917808219181</v>
      </c>
      <c r="D15" s="37">
        <f>125192/365</f>
        <v>342.99178082191781</v>
      </c>
      <c r="E15" s="36">
        <f>TREND(C15:D15,C$13:D$13,E$13)</f>
        <v>354.30127201565574</v>
      </c>
      <c r="G15" s="36"/>
      <c r="H15" s="32"/>
      <c r="I15" s="43"/>
      <c r="J15" s="43"/>
      <c r="K15" s="39">
        <f>Y7/2000</f>
        <v>0.39787499999999998</v>
      </c>
      <c r="L15" s="32">
        <f>K15*2000/E15</f>
        <v>2.2459699212280495</v>
      </c>
      <c r="M15" s="85">
        <f>K15</f>
        <v>0.39787499999999998</v>
      </c>
    </row>
    <row r="16" spans="1:31" x14ac:dyDescent="0.25">
      <c r="A16" s="66"/>
      <c r="B16" t="s">
        <v>4</v>
      </c>
      <c r="C16" s="36">
        <f>129388/365</f>
        <v>354.48767123287672</v>
      </c>
      <c r="D16" s="37">
        <f>159124/365</f>
        <v>435.95616438356166</v>
      </c>
      <c r="E16" s="36">
        <f>TREND(C16:D16,C$13:D$13,E$13)</f>
        <v>386.49315068493161</v>
      </c>
      <c r="G16" s="36"/>
      <c r="H16" s="32"/>
      <c r="I16" s="43"/>
      <c r="J16" s="43"/>
      <c r="K16" s="39" t="s">
        <v>276</v>
      </c>
      <c r="L16" s="39" t="s">
        <v>276</v>
      </c>
      <c r="M16" s="85">
        <f>AVERAGE(L14:L15)*E16/2000</f>
        <v>0.24611524671693513</v>
      </c>
    </row>
    <row r="17" spans="1:16" x14ac:dyDescent="0.25">
      <c r="A17" s="66"/>
      <c r="B17" t="s">
        <v>1</v>
      </c>
      <c r="C17" s="36">
        <f>302740/365</f>
        <v>829.42465753424653</v>
      </c>
      <c r="D17" s="37">
        <f>430494/365</f>
        <v>1179.4356164383562</v>
      </c>
      <c r="E17" s="36">
        <f>TREND(C17:D17,C$13:D$13,E$13)</f>
        <v>966.92896281800495</v>
      </c>
      <c r="G17" s="36"/>
      <c r="H17" s="32"/>
      <c r="I17" s="43"/>
      <c r="J17" s="43"/>
      <c r="K17" s="39">
        <f>J6/2000</f>
        <v>3.859157534246572</v>
      </c>
      <c r="L17" s="32">
        <f>K17*2000/E17</f>
        <v>7.9822979404805388</v>
      </c>
      <c r="M17" s="85">
        <f>K17</f>
        <v>3.859157534246572</v>
      </c>
      <c r="N17" s="32">
        <f>G6/365</f>
        <v>2.9849544936227823</v>
      </c>
      <c r="O17" s="32">
        <f>H6/365</f>
        <v>0.87420304062378917</v>
      </c>
      <c r="P17" s="43">
        <f>SUM(N17:N18)/M20</f>
        <v>0.70488537213238323</v>
      </c>
    </row>
    <row r="18" spans="1:16" x14ac:dyDescent="0.25">
      <c r="A18" s="66"/>
      <c r="B18" t="s">
        <v>0</v>
      </c>
      <c r="C18" s="36">
        <f>41676/365</f>
        <v>114.18082191780822</v>
      </c>
      <c r="D18" s="37">
        <f>139959/365</f>
        <v>383.44931506849315</v>
      </c>
      <c r="E18" s="36">
        <f>TREND(C18:D18,C$13:D$13,E$13)</f>
        <v>219.96487279843132</v>
      </c>
      <c r="G18" s="36"/>
      <c r="H18" s="32"/>
      <c r="I18" s="43"/>
      <c r="J18" s="43"/>
      <c r="K18" s="39">
        <f>Q6/2000</f>
        <v>2.1776750684931176</v>
      </c>
      <c r="L18" s="32">
        <f>K18*2000/E18</f>
        <v>19.800207558492019</v>
      </c>
      <c r="M18" s="85">
        <f>K18</f>
        <v>2.1776750684931176</v>
      </c>
      <c r="N18" s="32">
        <f>O6/365</f>
        <v>1.88720418720149</v>
      </c>
      <c r="O18" s="32">
        <f>P6/365</f>
        <v>0.29047088129162801</v>
      </c>
    </row>
    <row r="19" spans="1:16" x14ac:dyDescent="0.25">
      <c r="A19" s="66"/>
      <c r="E19" s="36">
        <f>SUM(E14:E18)</f>
        <v>2133.5363992172192</v>
      </c>
      <c r="H19" s="34"/>
      <c r="M19" s="86"/>
    </row>
    <row r="20" spans="1:16" ht="15.75" thickBot="1" x14ac:dyDescent="0.3">
      <c r="K20" s="39">
        <f>SUM(K14:K18)</f>
        <v>6.4657076027396894</v>
      </c>
      <c r="M20" s="87">
        <f>SUM(M14:M18)</f>
        <v>6.9119872158579012</v>
      </c>
    </row>
    <row r="22" spans="1:16" x14ac:dyDescent="0.25">
      <c r="A22" s="4"/>
      <c r="B22" s="4"/>
      <c r="C22" s="4"/>
      <c r="D22" s="4"/>
    </row>
    <row r="24" spans="1:16" x14ac:dyDescent="0.25">
      <c r="C24" s="3"/>
      <c r="D24" s="3"/>
      <c r="L24" s="34"/>
      <c r="M24" s="34"/>
    </row>
    <row r="25" spans="1:16" x14ac:dyDescent="0.25">
      <c r="C25" s="3"/>
      <c r="D25" s="3"/>
    </row>
    <row r="26" spans="1:16" x14ac:dyDescent="0.25">
      <c r="C26" s="3"/>
      <c r="D26" s="3"/>
    </row>
    <row r="27" spans="1:16" x14ac:dyDescent="0.25">
      <c r="C27" s="3"/>
      <c r="D27" s="3"/>
    </row>
    <row r="28" spans="1:16" x14ac:dyDescent="0.25">
      <c r="C28" s="3"/>
      <c r="D28" s="3"/>
    </row>
    <row r="30" spans="1:16" x14ac:dyDescent="0.25">
      <c r="C30" s="1"/>
      <c r="D30" s="1"/>
    </row>
    <row r="32" spans="1:16" x14ac:dyDescent="0.25">
      <c r="A32" s="4"/>
      <c r="B32" s="4"/>
      <c r="C32" s="43"/>
    </row>
    <row r="34" spans="3:3" x14ac:dyDescent="0.25">
      <c r="C34" s="2"/>
    </row>
  </sheetData>
  <mergeCells count="12">
    <mergeCell ref="A12:A19"/>
    <mergeCell ref="M9:M12"/>
    <mergeCell ref="A4:A6"/>
    <mergeCell ref="C12:E12"/>
    <mergeCell ref="F12:H12"/>
    <mergeCell ref="G2:I2"/>
    <mergeCell ref="C2:D2"/>
    <mergeCell ref="E2:F2"/>
    <mergeCell ref="B1:L1"/>
    <mergeCell ref="N1:V1"/>
    <mergeCell ref="X1:Y1"/>
    <mergeCell ref="AA1:A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7"/>
  <sheetViews>
    <sheetView workbookViewId="0">
      <selection activeCell="N15" sqref="N15"/>
    </sheetView>
  </sheetViews>
  <sheetFormatPr defaultRowHeight="15" x14ac:dyDescent="0.25"/>
  <cols>
    <col min="11" max="14" width="9.140625" style="31"/>
    <col min="19" max="19" width="11.140625" customWidth="1"/>
  </cols>
  <sheetData>
    <row r="1" spans="2:21" x14ac:dyDescent="0.25">
      <c r="B1" s="69" t="s">
        <v>290</v>
      </c>
      <c r="C1" s="69"/>
      <c r="D1" s="69"/>
      <c r="E1" s="69"/>
      <c r="F1" s="13"/>
      <c r="G1" s="69" t="s">
        <v>291</v>
      </c>
      <c r="H1" s="69"/>
      <c r="I1" s="69"/>
      <c r="J1" s="69"/>
      <c r="K1" s="30"/>
      <c r="L1" s="67" t="s">
        <v>292</v>
      </c>
      <c r="M1" s="68"/>
      <c r="N1" s="68"/>
      <c r="O1" s="23"/>
      <c r="S1" s="21"/>
      <c r="T1" s="21"/>
      <c r="U1" s="21"/>
    </row>
    <row r="2" spans="2:21" x14ac:dyDescent="0.25">
      <c r="B2" s="19" t="s">
        <v>6</v>
      </c>
      <c r="C2" s="19" t="s">
        <v>7</v>
      </c>
      <c r="D2" s="19" t="s">
        <v>18</v>
      </c>
      <c r="E2" s="19" t="s">
        <v>17</v>
      </c>
      <c r="F2" s="7"/>
      <c r="G2" s="19" t="s">
        <v>6</v>
      </c>
      <c r="H2" s="19" t="s">
        <v>7</v>
      </c>
      <c r="I2" s="19" t="s">
        <v>18</v>
      </c>
      <c r="J2" s="19" t="s">
        <v>17</v>
      </c>
      <c r="K2" s="20"/>
      <c r="L2" s="19" t="s">
        <v>6</v>
      </c>
      <c r="M2" s="19" t="s">
        <v>7</v>
      </c>
      <c r="N2" s="19" t="s">
        <v>17</v>
      </c>
      <c r="P2" s="20"/>
    </row>
    <row r="3" spans="2:21" x14ac:dyDescent="0.25">
      <c r="B3" s="70" t="s">
        <v>8</v>
      </c>
      <c r="C3" s="17" t="s">
        <v>9</v>
      </c>
      <c r="D3" s="18">
        <v>156.97</v>
      </c>
      <c r="E3" s="18">
        <f>D3/365</f>
        <v>0.43005479452054796</v>
      </c>
      <c r="F3" s="7"/>
      <c r="G3" s="70" t="s">
        <v>8</v>
      </c>
      <c r="H3" s="17" t="s">
        <v>9</v>
      </c>
      <c r="I3" s="18">
        <v>210.38</v>
      </c>
      <c r="J3" s="18">
        <f>I3/365</f>
        <v>0.57638356164383564</v>
      </c>
      <c r="K3" s="12"/>
      <c r="L3" s="24" t="s">
        <v>1</v>
      </c>
      <c r="M3" s="24" t="s">
        <v>249</v>
      </c>
      <c r="N3" s="54">
        <v>12.06</v>
      </c>
      <c r="P3" s="12"/>
    </row>
    <row r="4" spans="2:21" x14ac:dyDescent="0.25">
      <c r="B4" s="71"/>
      <c r="C4" s="14" t="s">
        <v>10</v>
      </c>
      <c r="D4" s="15">
        <v>8.23</v>
      </c>
      <c r="E4" s="15">
        <f t="shared" ref="E4:E21" si="0">D4/365</f>
        <v>2.2547945205479453E-2</v>
      </c>
      <c r="F4" s="7"/>
      <c r="G4" s="71"/>
      <c r="H4" s="14" t="s">
        <v>10</v>
      </c>
      <c r="I4" s="15">
        <v>10.199999999999999</v>
      </c>
      <c r="J4" s="15">
        <f t="shared" ref="J4:J21" si="1">I4/365</f>
        <v>2.7945205479452052E-2</v>
      </c>
      <c r="K4" s="12"/>
      <c r="L4" s="24" t="s">
        <v>2</v>
      </c>
      <c r="M4" s="24" t="s">
        <v>249</v>
      </c>
      <c r="N4" s="54">
        <v>0.51</v>
      </c>
      <c r="P4" s="12"/>
    </row>
    <row r="5" spans="2:21" ht="15" customHeight="1" x14ac:dyDescent="0.25">
      <c r="B5" s="72"/>
      <c r="C5" s="14" t="s">
        <v>11</v>
      </c>
      <c r="D5" s="15">
        <v>165.2</v>
      </c>
      <c r="E5" s="15">
        <f t="shared" si="0"/>
        <v>0.45260273972602738</v>
      </c>
      <c r="F5" s="7"/>
      <c r="G5" s="72"/>
      <c r="H5" s="14" t="s">
        <v>11</v>
      </c>
      <c r="I5" s="15">
        <v>220.58</v>
      </c>
      <c r="J5" s="15">
        <f t="shared" si="1"/>
        <v>0.60432876712328776</v>
      </c>
      <c r="K5" s="12"/>
      <c r="L5" s="24" t="s">
        <v>266</v>
      </c>
      <c r="M5" s="24" t="s">
        <v>249</v>
      </c>
      <c r="N5" s="54">
        <v>0.35</v>
      </c>
      <c r="R5" s="22"/>
      <c r="S5" s="11"/>
      <c r="T5" s="12"/>
    </row>
    <row r="6" spans="2:21" ht="15" customHeight="1" x14ac:dyDescent="0.25">
      <c r="B6" s="73" t="s">
        <v>12</v>
      </c>
      <c r="C6" s="14" t="s">
        <v>9</v>
      </c>
      <c r="D6" s="15">
        <v>330.86</v>
      </c>
      <c r="E6" s="15">
        <f t="shared" si="0"/>
        <v>0.90646575342465752</v>
      </c>
      <c r="F6" s="7"/>
      <c r="G6" s="73" t="s">
        <v>12</v>
      </c>
      <c r="H6" s="14" t="s">
        <v>9</v>
      </c>
      <c r="I6" s="15">
        <v>497.57</v>
      </c>
      <c r="J6" s="15">
        <f t="shared" si="1"/>
        <v>1.3632054794520547</v>
      </c>
      <c r="K6" s="12"/>
      <c r="L6" s="24" t="s">
        <v>289</v>
      </c>
      <c r="M6" s="24" t="s">
        <v>249</v>
      </c>
      <c r="N6" s="54">
        <v>1.82</v>
      </c>
      <c r="R6" s="22"/>
      <c r="S6" s="11"/>
      <c r="T6" s="12"/>
    </row>
    <row r="7" spans="2:21" ht="24" x14ac:dyDescent="0.25">
      <c r="B7" s="71"/>
      <c r="C7" s="14" t="s">
        <v>10</v>
      </c>
      <c r="D7" s="15">
        <v>17.12</v>
      </c>
      <c r="E7" s="15">
        <f t="shared" si="0"/>
        <v>4.69041095890411E-2</v>
      </c>
      <c r="F7" s="7"/>
      <c r="G7" s="71"/>
      <c r="H7" s="14" t="s">
        <v>10</v>
      </c>
      <c r="I7" s="15">
        <v>21.19</v>
      </c>
      <c r="J7" s="15">
        <f t="shared" si="1"/>
        <v>5.8054794520547952E-2</v>
      </c>
      <c r="K7" s="12"/>
      <c r="L7" s="24" t="s">
        <v>3</v>
      </c>
      <c r="M7" s="24" t="s">
        <v>249</v>
      </c>
      <c r="N7" s="76">
        <v>1.37</v>
      </c>
      <c r="R7" s="22"/>
      <c r="S7" s="11"/>
      <c r="T7" s="12"/>
    </row>
    <row r="8" spans="2:21" ht="15" customHeight="1" x14ac:dyDescent="0.25">
      <c r="B8" s="72"/>
      <c r="C8" s="14" t="s">
        <v>11</v>
      </c>
      <c r="D8" s="15">
        <v>347.97</v>
      </c>
      <c r="E8" s="15">
        <f t="shared" si="0"/>
        <v>0.95334246575342474</v>
      </c>
      <c r="F8" s="7"/>
      <c r="G8" s="72"/>
      <c r="H8" s="14" t="s">
        <v>11</v>
      </c>
      <c r="I8" s="15">
        <v>518.75</v>
      </c>
      <c r="J8" s="15">
        <f t="shared" si="1"/>
        <v>1.4212328767123288</v>
      </c>
      <c r="K8" s="12"/>
      <c r="L8" s="12"/>
      <c r="M8" s="59" t="s">
        <v>249</v>
      </c>
      <c r="N8" s="46">
        <f>SUM(N3:N7)</f>
        <v>16.11</v>
      </c>
      <c r="R8" s="22"/>
      <c r="S8" s="11"/>
      <c r="T8" s="12"/>
    </row>
    <row r="9" spans="2:21" ht="15" customHeight="1" x14ac:dyDescent="0.25">
      <c r="B9" s="73" t="s">
        <v>13</v>
      </c>
      <c r="C9" s="14" t="s">
        <v>9</v>
      </c>
      <c r="D9" s="15">
        <v>106.38</v>
      </c>
      <c r="E9" s="15">
        <f t="shared" si="0"/>
        <v>0.29145205479452052</v>
      </c>
      <c r="F9" s="7"/>
      <c r="G9" s="73" t="s">
        <v>13</v>
      </c>
      <c r="H9" s="14" t="s">
        <v>9</v>
      </c>
      <c r="I9" s="15">
        <v>143.68</v>
      </c>
      <c r="J9" s="15">
        <f t="shared" si="1"/>
        <v>0.3936438356164384</v>
      </c>
      <c r="K9" s="12"/>
      <c r="L9" s="12"/>
      <c r="M9" s="59" t="s">
        <v>284</v>
      </c>
      <c r="N9" s="49">
        <f>K19*N8</f>
        <v>0.54016525063197485</v>
      </c>
      <c r="S9" s="22"/>
      <c r="T9" s="11"/>
      <c r="U9" s="12"/>
    </row>
    <row r="10" spans="2:21" x14ac:dyDescent="0.25">
      <c r="B10" s="71"/>
      <c r="C10" s="14" t="s">
        <v>10</v>
      </c>
      <c r="D10" s="15">
        <v>6.33</v>
      </c>
      <c r="E10" s="15">
        <f t="shared" si="0"/>
        <v>1.7342465753424657E-2</v>
      </c>
      <c r="F10" s="7"/>
      <c r="G10" s="71"/>
      <c r="H10" s="14" t="s">
        <v>10</v>
      </c>
      <c r="I10" s="15">
        <v>7.46</v>
      </c>
      <c r="J10" s="15">
        <f t="shared" si="1"/>
        <v>2.043835616438356E-2</v>
      </c>
      <c r="K10" s="12"/>
      <c r="L10" s="12"/>
      <c r="M10" s="59" t="s">
        <v>283</v>
      </c>
      <c r="N10" s="49">
        <f>K18*N8</f>
        <v>15.523695254973719</v>
      </c>
      <c r="S10" s="22"/>
      <c r="T10" s="11"/>
      <c r="U10" s="12"/>
    </row>
    <row r="11" spans="2:21" ht="15" customHeight="1" x14ac:dyDescent="0.25">
      <c r="B11" s="72"/>
      <c r="C11" s="14" t="s">
        <v>11</v>
      </c>
      <c r="D11" s="15">
        <v>112.71</v>
      </c>
      <c r="E11" s="15">
        <f t="shared" si="0"/>
        <v>0.30879452054794521</v>
      </c>
      <c r="F11" s="7"/>
      <c r="G11" s="72"/>
      <c r="H11" s="14" t="s">
        <v>11</v>
      </c>
      <c r="I11" s="15">
        <v>151.13</v>
      </c>
      <c r="J11" s="15">
        <f t="shared" si="1"/>
        <v>0.41405479452054794</v>
      </c>
      <c r="K11" s="12"/>
      <c r="L11" s="12"/>
      <c r="M11" s="12"/>
      <c r="S11" s="22"/>
      <c r="T11" s="11"/>
      <c r="U11" s="12"/>
    </row>
    <row r="12" spans="2:21" ht="15" customHeight="1" x14ac:dyDescent="0.25">
      <c r="B12" s="73" t="s">
        <v>1</v>
      </c>
      <c r="C12" s="14" t="s">
        <v>9</v>
      </c>
      <c r="D12" s="15">
        <v>3509.33</v>
      </c>
      <c r="E12" s="15">
        <f t="shared" si="0"/>
        <v>9.6146027397260276</v>
      </c>
      <c r="F12" s="7"/>
      <c r="G12" s="73" t="s">
        <v>1</v>
      </c>
      <c r="H12" s="14" t="s">
        <v>9</v>
      </c>
      <c r="I12" s="15">
        <v>4921.05</v>
      </c>
      <c r="J12" s="15">
        <f t="shared" si="1"/>
        <v>13.482328767123288</v>
      </c>
      <c r="K12" s="12"/>
      <c r="L12" s="12"/>
      <c r="M12" s="12"/>
      <c r="S12" s="22"/>
      <c r="T12" s="11"/>
      <c r="U12" s="12"/>
    </row>
    <row r="13" spans="2:21" x14ac:dyDescent="0.25">
      <c r="B13" s="71"/>
      <c r="C13" s="14" t="s">
        <v>10</v>
      </c>
      <c r="D13" s="15">
        <v>124.66</v>
      </c>
      <c r="E13" s="15">
        <f t="shared" si="0"/>
        <v>0.34153424657534248</v>
      </c>
      <c r="F13" s="7"/>
      <c r="G13" s="71"/>
      <c r="H13" s="14" t="s">
        <v>10</v>
      </c>
      <c r="I13" s="15">
        <v>180.35</v>
      </c>
      <c r="J13" s="15">
        <f t="shared" si="1"/>
        <v>0.49410958904109586</v>
      </c>
      <c r="K13" s="12"/>
      <c r="L13" s="12"/>
      <c r="M13" s="12"/>
      <c r="S13" s="22"/>
      <c r="T13" s="11"/>
      <c r="U13" s="12"/>
    </row>
    <row r="14" spans="2:21" ht="15" customHeight="1" x14ac:dyDescent="0.25">
      <c r="B14" s="72"/>
      <c r="C14" s="14" t="s">
        <v>11</v>
      </c>
      <c r="D14" s="15">
        <v>3633.99</v>
      </c>
      <c r="E14" s="15">
        <f t="shared" si="0"/>
        <v>9.9561369863013685</v>
      </c>
      <c r="F14" s="7"/>
      <c r="G14" s="72"/>
      <c r="H14" s="14" t="s">
        <v>11</v>
      </c>
      <c r="I14" s="15">
        <v>5101.3999999999996</v>
      </c>
      <c r="J14" s="15">
        <f t="shared" si="1"/>
        <v>13.976438356164383</v>
      </c>
      <c r="K14" s="12"/>
      <c r="L14" s="12"/>
      <c r="M14" s="12"/>
      <c r="S14" s="22"/>
      <c r="T14" s="11"/>
      <c r="U14" s="12"/>
    </row>
    <row r="15" spans="2:21" ht="15" customHeight="1" x14ac:dyDescent="0.25">
      <c r="B15" s="73" t="s">
        <v>14</v>
      </c>
      <c r="C15" s="14" t="s">
        <v>9</v>
      </c>
      <c r="D15" s="15">
        <v>336.95</v>
      </c>
      <c r="E15" s="15">
        <f t="shared" si="0"/>
        <v>0.92315068493150687</v>
      </c>
      <c r="F15" s="7"/>
      <c r="G15" s="73" t="s">
        <v>14</v>
      </c>
      <c r="H15" s="14" t="s">
        <v>9</v>
      </c>
      <c r="I15" s="15">
        <v>1426.2</v>
      </c>
      <c r="J15" s="15">
        <f t="shared" si="1"/>
        <v>3.9073972602739726</v>
      </c>
      <c r="K15" s="12"/>
      <c r="L15" s="12"/>
      <c r="M15" s="12"/>
      <c r="S15" s="22"/>
      <c r="T15" s="11"/>
      <c r="U15" s="12"/>
    </row>
    <row r="16" spans="2:21" x14ac:dyDescent="0.25">
      <c r="B16" s="71"/>
      <c r="C16" s="14" t="s">
        <v>10</v>
      </c>
      <c r="D16" s="15">
        <v>11.95</v>
      </c>
      <c r="E16" s="15">
        <f t="shared" si="0"/>
        <v>3.2739726027397262E-2</v>
      </c>
      <c r="F16" s="7"/>
      <c r="G16" s="71"/>
      <c r="H16" s="14" t="s">
        <v>10</v>
      </c>
      <c r="I16" s="15">
        <v>52.71</v>
      </c>
      <c r="J16" s="15">
        <f t="shared" si="1"/>
        <v>0.1444109589041096</v>
      </c>
      <c r="K16" s="12"/>
      <c r="L16" s="12"/>
      <c r="M16" s="12"/>
      <c r="N16"/>
    </row>
    <row r="17" spans="2:14" ht="15" customHeight="1" x14ac:dyDescent="0.25">
      <c r="B17" s="72"/>
      <c r="C17" s="14" t="s">
        <v>11</v>
      </c>
      <c r="D17" s="15">
        <v>348.91</v>
      </c>
      <c r="E17" s="15">
        <f t="shared" si="0"/>
        <v>0.95591780821917816</v>
      </c>
      <c r="F17" s="7"/>
      <c r="G17" s="72"/>
      <c r="H17" s="14" t="s">
        <v>11</v>
      </c>
      <c r="I17" s="15">
        <v>1478.91</v>
      </c>
      <c r="J17" s="15">
        <f t="shared" si="1"/>
        <v>4.0518082191780822</v>
      </c>
      <c r="K17" s="12"/>
      <c r="L17" s="12"/>
      <c r="M17" s="12"/>
      <c r="N17"/>
    </row>
    <row r="18" spans="2:14" ht="15" customHeight="1" x14ac:dyDescent="0.25">
      <c r="B18" s="73" t="s">
        <v>16</v>
      </c>
      <c r="C18" s="14" t="s">
        <v>9</v>
      </c>
      <c r="D18" s="15">
        <f>SUM(D15,D12,D9,D6,D3)</f>
        <v>4440.49</v>
      </c>
      <c r="E18" s="15">
        <f t="shared" si="0"/>
        <v>12.165726027397259</v>
      </c>
      <c r="F18" s="57">
        <f>D18/D20</f>
        <v>0.96348491357799682</v>
      </c>
      <c r="G18" s="73" t="s">
        <v>11</v>
      </c>
      <c r="H18" s="14" t="s">
        <v>9</v>
      </c>
      <c r="I18" s="15">
        <f>SUM(I15,I12,I9,I6,I3)</f>
        <v>7198.88</v>
      </c>
      <c r="J18" s="15">
        <f t="shared" si="1"/>
        <v>19.722958904109589</v>
      </c>
      <c r="K18" s="57">
        <f>I18/I20</f>
        <v>0.9636061610784431</v>
      </c>
      <c r="L18" s="12"/>
      <c r="M18" s="12"/>
      <c r="N18"/>
    </row>
    <row r="19" spans="2:14" x14ac:dyDescent="0.25">
      <c r="B19" s="71"/>
      <c r="C19" s="14" t="s">
        <v>10</v>
      </c>
      <c r="D19" s="15">
        <f>SUM(D16,D13,D10,D7,D4)</f>
        <v>168.29</v>
      </c>
      <c r="E19" s="15">
        <f t="shared" si="0"/>
        <v>0.46106849315068493</v>
      </c>
      <c r="F19" s="57">
        <f>D19/D21</f>
        <v>3.2997780409565414E-2</v>
      </c>
      <c r="G19" s="71"/>
      <c r="H19" s="14" t="s">
        <v>10</v>
      </c>
      <c r="I19" s="15">
        <f>SUM(I16,I13,I10,I7,I4)</f>
        <v>271.91000000000003</v>
      </c>
      <c r="J19" s="15">
        <f t="shared" si="1"/>
        <v>0.74495890410958909</v>
      </c>
      <c r="K19" s="57">
        <f>I19/I21</f>
        <v>3.352981071582712E-2</v>
      </c>
      <c r="L19" s="12"/>
      <c r="M19" s="12"/>
      <c r="N19" s="58"/>
    </row>
    <row r="20" spans="2:14" x14ac:dyDescent="0.25">
      <c r="B20" s="71"/>
      <c r="C20" s="16" t="s">
        <v>16</v>
      </c>
      <c r="D20" s="15">
        <f>SUM(D17,D14,D11,D8,D5)</f>
        <v>4608.78</v>
      </c>
      <c r="E20" s="15">
        <f t="shared" si="0"/>
        <v>12.626794520547945</v>
      </c>
      <c r="F20" s="7"/>
      <c r="G20" s="72"/>
      <c r="H20" s="14" t="s">
        <v>11</v>
      </c>
      <c r="I20" s="15">
        <f>SUM(I17,I14,I11,I8,I5)</f>
        <v>7470.7699999999995</v>
      </c>
      <c r="J20" s="15">
        <f t="shared" si="1"/>
        <v>20.467863013698629</v>
      </c>
      <c r="K20" s="12"/>
      <c r="L20" s="12"/>
      <c r="M20" s="12"/>
      <c r="N20"/>
    </row>
    <row r="21" spans="2:14" x14ac:dyDescent="0.25">
      <c r="B21" s="74" t="s">
        <v>15</v>
      </c>
      <c r="C21" s="74"/>
      <c r="D21" s="24">
        <v>5100.04</v>
      </c>
      <c r="E21" s="15">
        <f t="shared" si="0"/>
        <v>13.972712328767123</v>
      </c>
      <c r="F21" s="7"/>
      <c r="G21" s="74" t="s">
        <v>15</v>
      </c>
      <c r="H21" s="74"/>
      <c r="I21" s="24">
        <v>8109.5</v>
      </c>
      <c r="J21" s="15">
        <f t="shared" si="1"/>
        <v>22.217808219178082</v>
      </c>
      <c r="K21" s="12"/>
      <c r="L21" s="12"/>
      <c r="M21" s="12"/>
      <c r="N21"/>
    </row>
    <row r="22" spans="2:14" x14ac:dyDescent="0.25">
      <c r="E22" s="8"/>
      <c r="F22" s="7"/>
      <c r="G22" s="8"/>
      <c r="H22" s="8"/>
    </row>
    <row r="23" spans="2:14" x14ac:dyDescent="0.25">
      <c r="E23" s="8"/>
      <c r="F23" s="7"/>
      <c r="G23" s="8"/>
      <c r="H23" s="8"/>
      <c r="I23" s="8"/>
      <c r="J23" s="8"/>
      <c r="K23" s="8"/>
      <c r="L23" s="8"/>
      <c r="M23" s="8"/>
    </row>
    <row r="24" spans="2:14" x14ac:dyDescent="0.25">
      <c r="E24" s="8"/>
      <c r="G24" s="8"/>
      <c r="H24" s="8"/>
      <c r="I24" s="8"/>
      <c r="J24" s="8"/>
      <c r="K24" s="8"/>
      <c r="L24" s="8"/>
      <c r="M24" s="8"/>
    </row>
    <row r="25" spans="2:14" x14ac:dyDescent="0.25">
      <c r="E25" s="8"/>
      <c r="F25" s="8"/>
      <c r="G25" s="8"/>
      <c r="H25" s="8"/>
      <c r="I25" s="8"/>
      <c r="J25" s="8"/>
      <c r="K25" s="8"/>
      <c r="L25" s="8"/>
      <c r="M25" s="8"/>
    </row>
    <row r="26" spans="2:14" x14ac:dyDescent="0.25"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 x14ac:dyDescent="0.25">
      <c r="F27" s="8"/>
      <c r="N27" s="8"/>
    </row>
    <row r="28" spans="2:14" x14ac:dyDescent="0.25">
      <c r="F28" s="8"/>
      <c r="N28" s="8"/>
    </row>
    <row r="29" spans="2:14" x14ac:dyDescent="0.25">
      <c r="F29" s="8"/>
      <c r="N29" s="8"/>
    </row>
    <row r="35" ht="15" customHeight="1" x14ac:dyDescent="0.25"/>
    <row r="38" ht="15" customHeight="1" x14ac:dyDescent="0.25"/>
    <row r="47" ht="15" customHeight="1" x14ac:dyDescent="0.25"/>
  </sheetData>
  <mergeCells count="17">
    <mergeCell ref="B15:B17"/>
    <mergeCell ref="B21:C21"/>
    <mergeCell ref="G21:H21"/>
    <mergeCell ref="G12:G14"/>
    <mergeCell ref="G15:G17"/>
    <mergeCell ref="G18:G20"/>
    <mergeCell ref="B18:B20"/>
    <mergeCell ref="G9:G11"/>
    <mergeCell ref="B3:B5"/>
    <mergeCell ref="B6:B8"/>
    <mergeCell ref="B9:B11"/>
    <mergeCell ref="B12:B14"/>
    <mergeCell ref="L1:N1"/>
    <mergeCell ref="B1:E1"/>
    <mergeCell ref="G1:J1"/>
    <mergeCell ref="G3:G5"/>
    <mergeCell ref="G6:G8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6"/>
  <sheetViews>
    <sheetView topLeftCell="G1" workbookViewId="0">
      <selection activeCell="R8" sqref="R8"/>
    </sheetView>
  </sheetViews>
  <sheetFormatPr defaultRowHeight="15" x14ac:dyDescent="0.25"/>
  <cols>
    <col min="1" max="1" width="13.42578125" bestFit="1" customWidth="1"/>
    <col min="2" max="2" width="17.85546875" hidden="1" customWidth="1"/>
    <col min="3" max="3" width="25.5703125" hidden="1" customWidth="1"/>
    <col min="4" max="4" width="41.28515625" bestFit="1" customWidth="1"/>
    <col min="5" max="5" width="18" customWidth="1"/>
    <col min="6" max="6" width="40.140625" bestFit="1" customWidth="1"/>
    <col min="7" max="7" width="11.28515625" style="6" bestFit="1" customWidth="1"/>
    <col min="8" max="9" width="11" style="6" bestFit="1" customWidth="1"/>
    <col min="10" max="12" width="5" bestFit="1" customWidth="1"/>
  </cols>
  <sheetData>
    <row r="1" spans="1:22" x14ac:dyDescent="0.25">
      <c r="G1" s="33"/>
      <c r="H1" s="53">
        <v>2012</v>
      </c>
      <c r="I1" s="53">
        <v>2023</v>
      </c>
      <c r="N1" s="6">
        <v>2012</v>
      </c>
      <c r="O1" s="6">
        <v>2013</v>
      </c>
      <c r="P1" s="6">
        <v>2015</v>
      </c>
      <c r="Q1" s="6">
        <v>2021</v>
      </c>
      <c r="R1" s="38">
        <v>2023</v>
      </c>
      <c r="S1" s="6">
        <v>2024</v>
      </c>
      <c r="T1" s="6">
        <v>2026</v>
      </c>
      <c r="U1" s="6">
        <v>2027</v>
      </c>
    </row>
    <row r="2" spans="1:22" x14ac:dyDescent="0.25">
      <c r="G2" s="77" t="s">
        <v>293</v>
      </c>
      <c r="H2" s="28">
        <f>SUM(H6:H113)</f>
        <v>2.8549560800000005</v>
      </c>
      <c r="I2" s="28">
        <f t="shared" ref="I2" si="0">SUM(I6:I113)</f>
        <v>0.92529851000000019</v>
      </c>
      <c r="J2" t="s">
        <v>294</v>
      </c>
      <c r="N2" s="75" t="s">
        <v>272</v>
      </c>
      <c r="O2" s="75"/>
      <c r="P2" s="75"/>
      <c r="Q2" s="75"/>
      <c r="R2" s="75"/>
      <c r="S2" s="75"/>
      <c r="T2" s="75"/>
      <c r="U2" s="75"/>
    </row>
    <row r="3" spans="1:22" x14ac:dyDescent="0.25">
      <c r="G3" s="62"/>
      <c r="H3" s="63"/>
      <c r="I3" s="63"/>
      <c r="J3" s="64"/>
      <c r="M3" t="s">
        <v>1</v>
      </c>
      <c r="N3" s="6">
        <v>273.7</v>
      </c>
      <c r="O3" s="6"/>
      <c r="P3" s="6"/>
      <c r="Q3" s="6"/>
      <c r="R3" s="45">
        <f>N3-(((N3-S3)/(S1-N1))*(R1-N1))</f>
        <v>133.94499999999999</v>
      </c>
      <c r="S3" s="6">
        <v>121.24</v>
      </c>
      <c r="U3" s="6"/>
      <c r="V3" t="s">
        <v>264</v>
      </c>
    </row>
    <row r="4" spans="1:22" x14ac:dyDescent="0.25">
      <c r="M4" t="s">
        <v>0</v>
      </c>
      <c r="N4" s="6">
        <v>78.41</v>
      </c>
      <c r="O4" s="6"/>
      <c r="P4" s="6"/>
      <c r="Q4" s="6"/>
      <c r="R4" s="45">
        <f>N4-(((N4-U4)/(U1-N1))*(R1-N1))</f>
        <v>38.663333333333334</v>
      </c>
      <c r="S4" s="6"/>
      <c r="U4" s="6">
        <v>24.21</v>
      </c>
      <c r="V4" t="s">
        <v>265</v>
      </c>
    </row>
    <row r="5" spans="1:22" s="44" customFormat="1" x14ac:dyDescent="0.25">
      <c r="A5" s="27" t="s">
        <v>248</v>
      </c>
      <c r="B5" s="27" t="s">
        <v>247</v>
      </c>
      <c r="C5" s="27" t="s">
        <v>246</v>
      </c>
      <c r="D5" s="27" t="s">
        <v>245</v>
      </c>
      <c r="E5" s="27" t="s">
        <v>244</v>
      </c>
      <c r="F5" s="27" t="s">
        <v>243</v>
      </c>
      <c r="G5" s="25" t="s">
        <v>242</v>
      </c>
      <c r="H5" s="25">
        <v>2012</v>
      </c>
      <c r="I5" s="25">
        <v>2023</v>
      </c>
      <c r="M5" t="s">
        <v>262</v>
      </c>
      <c r="N5" s="46"/>
      <c r="O5" s="47">
        <v>25.6</v>
      </c>
      <c r="P5" s="47"/>
      <c r="Q5" s="47">
        <v>7.5</v>
      </c>
      <c r="R5" s="49">
        <f>Q5-(((Q5-T5)/(T1-Q1))*(R1-Q1))</f>
        <v>5.86</v>
      </c>
      <c r="S5" s="46"/>
      <c r="T5" s="47">
        <v>3.4</v>
      </c>
      <c r="U5" s="46"/>
      <c r="V5" s="48" t="s">
        <v>263</v>
      </c>
    </row>
    <row r="6" spans="1:22" x14ac:dyDescent="0.25">
      <c r="A6" s="9" t="s">
        <v>25</v>
      </c>
      <c r="B6" s="9" t="s">
        <v>241</v>
      </c>
      <c r="C6" s="9" t="s">
        <v>23</v>
      </c>
      <c r="D6" s="9" t="s">
        <v>22</v>
      </c>
      <c r="E6" s="9" t="s">
        <v>212</v>
      </c>
      <c r="F6" s="9" t="s">
        <v>240</v>
      </c>
      <c r="G6" s="10" t="s">
        <v>19</v>
      </c>
      <c r="H6" s="26">
        <v>0</v>
      </c>
      <c r="I6" s="26">
        <v>0</v>
      </c>
      <c r="M6" t="s">
        <v>266</v>
      </c>
      <c r="R6" s="45">
        <f>N14*AVERAGE(O13,O15)*365</f>
        <v>27.196187872756663</v>
      </c>
      <c r="V6" s="48" t="s">
        <v>288</v>
      </c>
    </row>
    <row r="7" spans="1:22" x14ac:dyDescent="0.25">
      <c r="A7" s="9" t="s">
        <v>25</v>
      </c>
      <c r="B7" s="9" t="s">
        <v>239</v>
      </c>
      <c r="C7" s="9" t="s">
        <v>23</v>
      </c>
      <c r="D7" s="9" t="s">
        <v>22</v>
      </c>
      <c r="E7" s="9" t="s">
        <v>212</v>
      </c>
      <c r="F7" s="9" t="s">
        <v>238</v>
      </c>
      <c r="G7" s="10" t="s">
        <v>19</v>
      </c>
      <c r="H7" s="26">
        <v>6.0240599999999998E-2</v>
      </c>
      <c r="I7" s="26">
        <v>1.54726E-2</v>
      </c>
      <c r="M7" t="s">
        <v>267</v>
      </c>
      <c r="P7" s="32">
        <v>21.62</v>
      </c>
      <c r="Q7" s="32"/>
      <c r="R7" s="45">
        <v>25.565000000000001</v>
      </c>
      <c r="V7" t="s">
        <v>285</v>
      </c>
    </row>
    <row r="8" spans="1:22" x14ac:dyDescent="0.25">
      <c r="A8" s="9" t="s">
        <v>25</v>
      </c>
      <c r="B8" s="9" t="s">
        <v>237</v>
      </c>
      <c r="C8" s="9" t="s">
        <v>23</v>
      </c>
      <c r="D8" s="9" t="s">
        <v>22</v>
      </c>
      <c r="E8" s="9" t="s">
        <v>212</v>
      </c>
      <c r="F8" s="9" t="s">
        <v>236</v>
      </c>
      <c r="G8" s="10" t="s">
        <v>19</v>
      </c>
      <c r="H8" s="26">
        <v>5.4913200000000001E-3</v>
      </c>
      <c r="I8" s="26">
        <v>1.2659399999999999E-3</v>
      </c>
      <c r="R8" s="45">
        <f>SUM(R3:R7)/365</f>
        <v>0.63350553755093153</v>
      </c>
    </row>
    <row r="9" spans="1:22" x14ac:dyDescent="0.25">
      <c r="A9" s="9" t="s">
        <v>25</v>
      </c>
      <c r="B9" s="9" t="s">
        <v>235</v>
      </c>
      <c r="C9" s="9" t="s">
        <v>23</v>
      </c>
      <c r="D9" s="9" t="s">
        <v>22</v>
      </c>
      <c r="E9" s="9" t="s">
        <v>212</v>
      </c>
      <c r="F9" s="9" t="s">
        <v>234</v>
      </c>
      <c r="G9" s="10" t="s">
        <v>19</v>
      </c>
      <c r="H9" s="26">
        <v>1.6391999999999999E-4</v>
      </c>
      <c r="I9" s="26">
        <v>7.0329999999999999E-5</v>
      </c>
    </row>
    <row r="10" spans="1:22" x14ac:dyDescent="0.25">
      <c r="A10" s="9" t="s">
        <v>25</v>
      </c>
      <c r="B10" s="9" t="s">
        <v>233</v>
      </c>
      <c r="C10" s="9" t="s">
        <v>23</v>
      </c>
      <c r="D10" s="9" t="s">
        <v>22</v>
      </c>
      <c r="E10" s="9" t="s">
        <v>212</v>
      </c>
      <c r="F10" s="9" t="s">
        <v>232</v>
      </c>
      <c r="G10" s="10" t="s">
        <v>19</v>
      </c>
      <c r="H10" s="26">
        <v>6.8026800000000002E-3</v>
      </c>
      <c r="I10" s="26">
        <v>1.82858E-3</v>
      </c>
      <c r="N10" t="s">
        <v>286</v>
      </c>
      <c r="O10" s="55" t="s">
        <v>287</v>
      </c>
    </row>
    <row r="11" spans="1:22" x14ac:dyDescent="0.25">
      <c r="A11" s="9" t="s">
        <v>25</v>
      </c>
      <c r="B11" s="9" t="s">
        <v>231</v>
      </c>
      <c r="C11" s="9" t="s">
        <v>23</v>
      </c>
      <c r="D11" s="9" t="s">
        <v>22</v>
      </c>
      <c r="E11" s="9" t="s">
        <v>212</v>
      </c>
      <c r="F11" s="9" t="s">
        <v>230</v>
      </c>
      <c r="G11" s="10" t="s">
        <v>19</v>
      </c>
      <c r="H11" s="26">
        <v>7.9501199999999998E-3</v>
      </c>
      <c r="I11" s="26">
        <v>1.6175899999999999E-3</v>
      </c>
      <c r="M11" t="s">
        <v>1</v>
      </c>
      <c r="N11" s="36">
        <f>'On-Road'!E17</f>
        <v>966.92896281800495</v>
      </c>
      <c r="O11" s="60">
        <f>(R3/365)/N11</f>
        <v>3.7952385009776301E-4</v>
      </c>
    </row>
    <row r="12" spans="1:22" x14ac:dyDescent="0.25">
      <c r="A12" s="9" t="s">
        <v>25</v>
      </c>
      <c r="B12" s="9" t="s">
        <v>229</v>
      </c>
      <c r="C12" s="9" t="s">
        <v>23</v>
      </c>
      <c r="D12" s="9" t="s">
        <v>22</v>
      </c>
      <c r="E12" s="9" t="s">
        <v>212</v>
      </c>
      <c r="F12" s="9" t="s">
        <v>228</v>
      </c>
      <c r="G12" s="10" t="s">
        <v>19</v>
      </c>
      <c r="H12" s="26">
        <v>5.5732799999999999E-3</v>
      </c>
      <c r="I12" s="26">
        <v>1.1956099999999999E-3</v>
      </c>
      <c r="M12" t="s">
        <v>0</v>
      </c>
      <c r="N12" s="36">
        <f>'On-Road'!E18</f>
        <v>219.96487279843132</v>
      </c>
      <c r="O12" s="60">
        <f t="shared" ref="O12:O15" si="1">(R4/365)/N12</f>
        <v>4.8156298454225203E-4</v>
      </c>
    </row>
    <row r="13" spans="1:22" x14ac:dyDescent="0.25">
      <c r="A13" s="9" t="s">
        <v>25</v>
      </c>
      <c r="B13" s="9" t="s">
        <v>227</v>
      </c>
      <c r="C13" s="9" t="s">
        <v>23</v>
      </c>
      <c r="D13" s="9" t="s">
        <v>22</v>
      </c>
      <c r="E13" s="9" t="s">
        <v>212</v>
      </c>
      <c r="F13" s="9" t="s">
        <v>226</v>
      </c>
      <c r="G13" s="10" t="s">
        <v>19</v>
      </c>
      <c r="H13" s="26">
        <v>1.7067700000000002E-2</v>
      </c>
      <c r="I13" s="26">
        <v>8.7027600000000004E-3</v>
      </c>
      <c r="M13" t="s">
        <v>262</v>
      </c>
      <c r="N13" s="36">
        <f>'On-Road'!E15</f>
        <v>354.30127201565574</v>
      </c>
      <c r="O13" s="60">
        <f t="shared" si="1"/>
        <v>4.531396240609185E-5</v>
      </c>
    </row>
    <row r="14" spans="1:22" x14ac:dyDescent="0.25">
      <c r="A14" s="9" t="s">
        <v>25</v>
      </c>
      <c r="B14" s="9" t="s">
        <v>225</v>
      </c>
      <c r="C14" s="9" t="s">
        <v>23</v>
      </c>
      <c r="D14" s="9" t="s">
        <v>22</v>
      </c>
      <c r="E14" s="9" t="s">
        <v>212</v>
      </c>
      <c r="F14" s="9" t="s">
        <v>224</v>
      </c>
      <c r="G14" s="10" t="s">
        <v>19</v>
      </c>
      <c r="H14" s="26">
        <v>1.47528E-3</v>
      </c>
      <c r="I14" s="26">
        <v>2.8132E-4</v>
      </c>
      <c r="M14" t="s">
        <v>266</v>
      </c>
      <c r="N14" s="36">
        <f>'On-Road'!E16</f>
        <v>386.49315068493161</v>
      </c>
      <c r="O14" s="61" t="s">
        <v>276</v>
      </c>
    </row>
    <row r="15" spans="1:22" x14ac:dyDescent="0.25">
      <c r="A15" s="9" t="s">
        <v>25</v>
      </c>
      <c r="B15" s="9" t="s">
        <v>223</v>
      </c>
      <c r="C15" s="9" t="s">
        <v>23</v>
      </c>
      <c r="D15" s="9" t="s">
        <v>22</v>
      </c>
      <c r="E15" s="9" t="s">
        <v>212</v>
      </c>
      <c r="F15" s="9" t="s">
        <v>222</v>
      </c>
      <c r="G15" s="10" t="s">
        <v>19</v>
      </c>
      <c r="H15" s="26">
        <v>6.5567999999999996E-4</v>
      </c>
      <c r="I15" s="26">
        <v>1.4066E-4</v>
      </c>
      <c r="M15" t="s">
        <v>267</v>
      </c>
      <c r="N15" s="36">
        <f>'On-Road'!E14</f>
        <v>205.84814090019563</v>
      </c>
      <c r="O15" s="60">
        <f t="shared" si="1"/>
        <v>3.4025614991767169E-4</v>
      </c>
    </row>
    <row r="16" spans="1:22" x14ac:dyDescent="0.25">
      <c r="A16" s="9" t="s">
        <v>25</v>
      </c>
      <c r="B16" s="9" t="s">
        <v>221</v>
      </c>
      <c r="C16" s="9" t="s">
        <v>23</v>
      </c>
      <c r="D16" s="9" t="s">
        <v>22</v>
      </c>
      <c r="E16" s="9" t="s">
        <v>212</v>
      </c>
      <c r="F16" s="9" t="s">
        <v>220</v>
      </c>
      <c r="G16" s="10" t="s">
        <v>19</v>
      </c>
      <c r="H16" s="26">
        <v>9.0156000000000003E-4</v>
      </c>
      <c r="I16" s="26">
        <v>1.4066E-4</v>
      </c>
    </row>
    <row r="17" spans="1:9" x14ac:dyDescent="0.25">
      <c r="A17" s="9" t="s">
        <v>25</v>
      </c>
      <c r="B17" s="9" t="s">
        <v>219</v>
      </c>
      <c r="C17" s="9" t="s">
        <v>23</v>
      </c>
      <c r="D17" s="9" t="s">
        <v>22</v>
      </c>
      <c r="E17" s="9" t="s">
        <v>212</v>
      </c>
      <c r="F17" s="9" t="s">
        <v>218</v>
      </c>
      <c r="G17" s="10" t="s">
        <v>19</v>
      </c>
      <c r="H17" s="26">
        <v>2.398461E-2</v>
      </c>
      <c r="I17" s="26">
        <v>2.8481759999999998E-2</v>
      </c>
    </row>
    <row r="18" spans="1:9" x14ac:dyDescent="0.25">
      <c r="A18" s="9" t="s">
        <v>25</v>
      </c>
      <c r="B18" s="9" t="s">
        <v>217</v>
      </c>
      <c r="C18" s="9" t="s">
        <v>23</v>
      </c>
      <c r="D18" s="9" t="s">
        <v>22</v>
      </c>
      <c r="E18" s="9" t="s">
        <v>212</v>
      </c>
      <c r="F18" s="9" t="s">
        <v>216</v>
      </c>
      <c r="G18" s="10" t="s">
        <v>19</v>
      </c>
      <c r="H18" s="26">
        <v>0</v>
      </c>
      <c r="I18" s="26">
        <v>0</v>
      </c>
    </row>
    <row r="19" spans="1:9" x14ac:dyDescent="0.25">
      <c r="A19" s="9" t="s">
        <v>25</v>
      </c>
      <c r="B19" s="9" t="s">
        <v>215</v>
      </c>
      <c r="C19" s="9" t="s">
        <v>23</v>
      </c>
      <c r="D19" s="9" t="s">
        <v>22</v>
      </c>
      <c r="E19" s="9" t="s">
        <v>212</v>
      </c>
      <c r="F19" s="9" t="s">
        <v>214</v>
      </c>
      <c r="G19" s="10" t="s">
        <v>19</v>
      </c>
      <c r="H19" s="26">
        <v>1.0081079999999999E-2</v>
      </c>
      <c r="I19" s="26">
        <v>2.18023E-3</v>
      </c>
    </row>
    <row r="20" spans="1:9" x14ac:dyDescent="0.25">
      <c r="A20" s="9" t="s">
        <v>25</v>
      </c>
      <c r="B20" s="9" t="s">
        <v>213</v>
      </c>
      <c r="C20" s="9" t="s">
        <v>23</v>
      </c>
      <c r="D20" s="9" t="s">
        <v>22</v>
      </c>
      <c r="E20" s="9" t="s">
        <v>212</v>
      </c>
      <c r="F20" s="9" t="s">
        <v>211</v>
      </c>
      <c r="G20" s="10" t="s">
        <v>19</v>
      </c>
      <c r="H20" s="26">
        <v>2.6949E-4</v>
      </c>
      <c r="I20" s="26">
        <v>2.4983999999999998E-4</v>
      </c>
    </row>
    <row r="21" spans="1:9" x14ac:dyDescent="0.25">
      <c r="A21" s="9" t="s">
        <v>25</v>
      </c>
      <c r="B21" s="9" t="s">
        <v>210</v>
      </c>
      <c r="C21" s="9" t="s">
        <v>23</v>
      </c>
      <c r="D21" s="9" t="s">
        <v>22</v>
      </c>
      <c r="E21" s="9" t="s">
        <v>107</v>
      </c>
      <c r="F21" s="9" t="s">
        <v>209</v>
      </c>
      <c r="G21" s="10" t="s">
        <v>19</v>
      </c>
      <c r="H21" s="26">
        <v>3.8193360000000003E-2</v>
      </c>
      <c r="I21" s="26">
        <v>9.0022399999999999E-3</v>
      </c>
    </row>
    <row r="22" spans="1:9" x14ac:dyDescent="0.25">
      <c r="A22" s="9" t="s">
        <v>25</v>
      </c>
      <c r="B22" s="9" t="s">
        <v>208</v>
      </c>
      <c r="C22" s="9" t="s">
        <v>23</v>
      </c>
      <c r="D22" s="9" t="s">
        <v>22</v>
      </c>
      <c r="E22" s="9" t="s">
        <v>107</v>
      </c>
      <c r="F22" s="9" t="s">
        <v>207</v>
      </c>
      <c r="G22" s="10" t="s">
        <v>19</v>
      </c>
      <c r="H22" s="26">
        <v>0</v>
      </c>
      <c r="I22" s="26">
        <v>0</v>
      </c>
    </row>
    <row r="23" spans="1:9" x14ac:dyDescent="0.25">
      <c r="A23" s="9" t="s">
        <v>25</v>
      </c>
      <c r="B23" s="9" t="s">
        <v>206</v>
      </c>
      <c r="C23" s="9" t="s">
        <v>23</v>
      </c>
      <c r="D23" s="9" t="s">
        <v>22</v>
      </c>
      <c r="E23" s="9" t="s">
        <v>107</v>
      </c>
      <c r="F23" s="9" t="s">
        <v>205</v>
      </c>
      <c r="G23" s="10" t="s">
        <v>19</v>
      </c>
      <c r="H23" s="26">
        <v>1.2867719999999999E-2</v>
      </c>
      <c r="I23" s="26">
        <v>3.5165000000000001E-3</v>
      </c>
    </row>
    <row r="24" spans="1:9" x14ac:dyDescent="0.25">
      <c r="A24" s="9" t="s">
        <v>25</v>
      </c>
      <c r="B24" s="9" t="s">
        <v>204</v>
      </c>
      <c r="C24" s="9" t="s">
        <v>23</v>
      </c>
      <c r="D24" s="9" t="s">
        <v>22</v>
      </c>
      <c r="E24" s="9" t="s">
        <v>107</v>
      </c>
      <c r="F24" s="9" t="s">
        <v>203</v>
      </c>
      <c r="G24" s="10" t="s">
        <v>19</v>
      </c>
      <c r="H24" s="26">
        <v>0</v>
      </c>
      <c r="I24" s="26">
        <v>0</v>
      </c>
    </row>
    <row r="25" spans="1:9" x14ac:dyDescent="0.25">
      <c r="A25" s="9" t="s">
        <v>25</v>
      </c>
      <c r="B25" s="9" t="s">
        <v>202</v>
      </c>
      <c r="C25" s="9" t="s">
        <v>23</v>
      </c>
      <c r="D25" s="9" t="s">
        <v>22</v>
      </c>
      <c r="E25" s="9" t="s">
        <v>107</v>
      </c>
      <c r="F25" s="9" t="s">
        <v>201</v>
      </c>
      <c r="G25" s="10" t="s">
        <v>19</v>
      </c>
      <c r="H25" s="26">
        <v>0</v>
      </c>
      <c r="I25" s="26">
        <v>0</v>
      </c>
    </row>
    <row r="26" spans="1:9" x14ac:dyDescent="0.25">
      <c r="A26" s="9" t="s">
        <v>25</v>
      </c>
      <c r="B26" s="9" t="s">
        <v>200</v>
      </c>
      <c r="C26" s="9" t="s">
        <v>23</v>
      </c>
      <c r="D26" s="9" t="s">
        <v>22</v>
      </c>
      <c r="E26" s="9" t="s">
        <v>107</v>
      </c>
      <c r="F26" s="9" t="s">
        <v>199</v>
      </c>
      <c r="G26" s="10" t="s">
        <v>19</v>
      </c>
      <c r="H26" s="26">
        <v>0</v>
      </c>
      <c r="I26" s="26">
        <v>0</v>
      </c>
    </row>
    <row r="27" spans="1:9" x14ac:dyDescent="0.25">
      <c r="A27" s="9" t="s">
        <v>25</v>
      </c>
      <c r="B27" s="9" t="s">
        <v>198</v>
      </c>
      <c r="C27" s="9" t="s">
        <v>23</v>
      </c>
      <c r="D27" s="9" t="s">
        <v>22</v>
      </c>
      <c r="E27" s="9" t="s">
        <v>107</v>
      </c>
      <c r="F27" s="9" t="s">
        <v>197</v>
      </c>
      <c r="G27" s="10" t="s">
        <v>19</v>
      </c>
      <c r="H27" s="26">
        <v>6.5567999999999996E-4</v>
      </c>
      <c r="I27" s="26">
        <v>1.4066E-4</v>
      </c>
    </row>
    <row r="28" spans="1:9" x14ac:dyDescent="0.25">
      <c r="A28" s="9" t="s">
        <v>25</v>
      </c>
      <c r="B28" s="9" t="s">
        <v>196</v>
      </c>
      <c r="C28" s="9" t="s">
        <v>23</v>
      </c>
      <c r="D28" s="9" t="s">
        <v>22</v>
      </c>
      <c r="E28" s="9" t="s">
        <v>107</v>
      </c>
      <c r="F28" s="9" t="s">
        <v>195</v>
      </c>
      <c r="G28" s="10" t="s">
        <v>19</v>
      </c>
      <c r="H28" s="26">
        <v>0</v>
      </c>
      <c r="I28" s="26">
        <v>0</v>
      </c>
    </row>
    <row r="29" spans="1:9" x14ac:dyDescent="0.25">
      <c r="A29" s="9" t="s">
        <v>25</v>
      </c>
      <c r="B29" s="9" t="s">
        <v>194</v>
      </c>
      <c r="C29" s="9" t="s">
        <v>23</v>
      </c>
      <c r="D29" s="9" t="s">
        <v>22</v>
      </c>
      <c r="E29" s="9" t="s">
        <v>107</v>
      </c>
      <c r="F29" s="9" t="s">
        <v>193</v>
      </c>
      <c r="G29" s="10" t="s">
        <v>19</v>
      </c>
      <c r="H29" s="26">
        <v>8.4336839999999996E-2</v>
      </c>
      <c r="I29" s="26">
        <v>2.9679259999999999E-2</v>
      </c>
    </row>
    <row r="30" spans="1:9" x14ac:dyDescent="0.25">
      <c r="A30" s="9" t="s">
        <v>25</v>
      </c>
      <c r="B30" s="9" t="s">
        <v>192</v>
      </c>
      <c r="C30" s="9" t="s">
        <v>23</v>
      </c>
      <c r="D30" s="9" t="s">
        <v>22</v>
      </c>
      <c r="E30" s="9" t="s">
        <v>107</v>
      </c>
      <c r="F30" s="9" t="s">
        <v>191</v>
      </c>
      <c r="G30" s="10" t="s">
        <v>19</v>
      </c>
      <c r="H30" s="26">
        <v>0</v>
      </c>
      <c r="I30" s="26">
        <v>0</v>
      </c>
    </row>
    <row r="31" spans="1:9" x14ac:dyDescent="0.25">
      <c r="A31" s="9" t="s">
        <v>25</v>
      </c>
      <c r="B31" s="9" t="s">
        <v>190</v>
      </c>
      <c r="C31" s="9" t="s">
        <v>23</v>
      </c>
      <c r="D31" s="9" t="s">
        <v>22</v>
      </c>
      <c r="E31" s="9" t="s">
        <v>107</v>
      </c>
      <c r="F31" s="9" t="s">
        <v>189</v>
      </c>
      <c r="G31" s="10" t="s">
        <v>19</v>
      </c>
      <c r="H31" s="26">
        <v>2.6063280000000001E-2</v>
      </c>
      <c r="I31" s="26">
        <v>7.1033299999999997E-3</v>
      </c>
    </row>
    <row r="32" spans="1:9" x14ac:dyDescent="0.25">
      <c r="A32" s="9" t="s">
        <v>25</v>
      </c>
      <c r="B32" s="9" t="s">
        <v>188</v>
      </c>
      <c r="C32" s="9" t="s">
        <v>23</v>
      </c>
      <c r="D32" s="9" t="s">
        <v>22</v>
      </c>
      <c r="E32" s="9" t="s">
        <v>107</v>
      </c>
      <c r="F32" s="9" t="s">
        <v>187</v>
      </c>
      <c r="G32" s="10" t="s">
        <v>19</v>
      </c>
      <c r="H32" s="26">
        <v>0</v>
      </c>
      <c r="I32" s="26">
        <v>0</v>
      </c>
    </row>
    <row r="33" spans="1:9" x14ac:dyDescent="0.25">
      <c r="A33" s="9" t="s">
        <v>25</v>
      </c>
      <c r="B33" s="9" t="s">
        <v>186</v>
      </c>
      <c r="C33" s="9" t="s">
        <v>23</v>
      </c>
      <c r="D33" s="9" t="s">
        <v>22</v>
      </c>
      <c r="E33" s="9" t="s">
        <v>107</v>
      </c>
      <c r="F33" s="9" t="s">
        <v>185</v>
      </c>
      <c r="G33" s="10" t="s">
        <v>19</v>
      </c>
      <c r="H33" s="26">
        <v>1.081872E-2</v>
      </c>
      <c r="I33" s="26">
        <v>3.7978199999999999E-3</v>
      </c>
    </row>
    <row r="34" spans="1:9" x14ac:dyDescent="0.25">
      <c r="A34" s="9" t="s">
        <v>25</v>
      </c>
      <c r="B34" s="9" t="s">
        <v>184</v>
      </c>
      <c r="C34" s="9" t="s">
        <v>23</v>
      </c>
      <c r="D34" s="9" t="s">
        <v>22</v>
      </c>
      <c r="E34" s="9" t="s">
        <v>107</v>
      </c>
      <c r="F34" s="9" t="s">
        <v>183</v>
      </c>
      <c r="G34" s="10" t="s">
        <v>19</v>
      </c>
      <c r="H34" s="26">
        <v>0</v>
      </c>
      <c r="I34" s="26">
        <v>0</v>
      </c>
    </row>
    <row r="35" spans="1:9" x14ac:dyDescent="0.25">
      <c r="A35" s="9" t="s">
        <v>25</v>
      </c>
      <c r="B35" s="9" t="s">
        <v>182</v>
      </c>
      <c r="C35" s="9" t="s">
        <v>23</v>
      </c>
      <c r="D35" s="9" t="s">
        <v>22</v>
      </c>
      <c r="E35" s="9" t="s">
        <v>107</v>
      </c>
      <c r="F35" s="9" t="s">
        <v>181</v>
      </c>
      <c r="G35" s="10" t="s">
        <v>19</v>
      </c>
      <c r="H35" s="26">
        <v>1.1310479999999999E-2</v>
      </c>
      <c r="I35" s="26">
        <v>2.5318799999999998E-3</v>
      </c>
    </row>
    <row r="36" spans="1:9" x14ac:dyDescent="0.25">
      <c r="A36" s="9" t="s">
        <v>25</v>
      </c>
      <c r="B36" s="9" t="s">
        <v>180</v>
      </c>
      <c r="C36" s="9" t="s">
        <v>23</v>
      </c>
      <c r="D36" s="9" t="s">
        <v>22</v>
      </c>
      <c r="E36" s="9" t="s">
        <v>107</v>
      </c>
      <c r="F36" s="9" t="s">
        <v>179</v>
      </c>
      <c r="G36" s="10" t="s">
        <v>19</v>
      </c>
      <c r="H36" s="26">
        <v>0</v>
      </c>
      <c r="I36" s="26">
        <v>0</v>
      </c>
    </row>
    <row r="37" spans="1:9" x14ac:dyDescent="0.25">
      <c r="A37" s="9" t="s">
        <v>25</v>
      </c>
      <c r="B37" s="9" t="s">
        <v>178</v>
      </c>
      <c r="C37" s="9" t="s">
        <v>23</v>
      </c>
      <c r="D37" s="9" t="s">
        <v>22</v>
      </c>
      <c r="E37" s="9" t="s">
        <v>107</v>
      </c>
      <c r="F37" s="9" t="s">
        <v>177</v>
      </c>
      <c r="G37" s="10" t="s">
        <v>19</v>
      </c>
      <c r="H37" s="26">
        <v>0.38873627999999999</v>
      </c>
      <c r="I37" s="26">
        <v>7.3987159999999996E-2</v>
      </c>
    </row>
    <row r="38" spans="1:9" x14ac:dyDescent="0.25">
      <c r="A38" s="9" t="s">
        <v>25</v>
      </c>
      <c r="B38" s="9" t="s">
        <v>176</v>
      </c>
      <c r="C38" s="9" t="s">
        <v>23</v>
      </c>
      <c r="D38" s="9" t="s">
        <v>22</v>
      </c>
      <c r="E38" s="9" t="s">
        <v>107</v>
      </c>
      <c r="F38" s="9" t="s">
        <v>175</v>
      </c>
      <c r="G38" s="10" t="s">
        <v>19</v>
      </c>
      <c r="H38" s="26">
        <v>0</v>
      </c>
      <c r="I38" s="26">
        <v>0</v>
      </c>
    </row>
    <row r="39" spans="1:9" x14ac:dyDescent="0.25">
      <c r="A39" s="9" t="s">
        <v>25</v>
      </c>
      <c r="B39" s="9" t="s">
        <v>174</v>
      </c>
      <c r="C39" s="9" t="s">
        <v>23</v>
      </c>
      <c r="D39" s="9" t="s">
        <v>22</v>
      </c>
      <c r="E39" s="9" t="s">
        <v>107</v>
      </c>
      <c r="F39" s="9" t="s">
        <v>173</v>
      </c>
      <c r="G39" s="10" t="s">
        <v>19</v>
      </c>
      <c r="H39" s="26">
        <v>0</v>
      </c>
      <c r="I39" s="26">
        <v>0</v>
      </c>
    </row>
    <row r="40" spans="1:9" x14ac:dyDescent="0.25">
      <c r="A40" s="9" t="s">
        <v>25</v>
      </c>
      <c r="B40" s="9" t="s">
        <v>172</v>
      </c>
      <c r="C40" s="9" t="s">
        <v>23</v>
      </c>
      <c r="D40" s="9" t="s">
        <v>22</v>
      </c>
      <c r="E40" s="9" t="s">
        <v>107</v>
      </c>
      <c r="F40" s="9" t="s">
        <v>171</v>
      </c>
      <c r="G40" s="10" t="s">
        <v>19</v>
      </c>
      <c r="H40" s="26">
        <v>0</v>
      </c>
      <c r="I40" s="26">
        <v>0</v>
      </c>
    </row>
    <row r="41" spans="1:9" x14ac:dyDescent="0.25">
      <c r="A41" s="9" t="s">
        <v>25</v>
      </c>
      <c r="B41" s="9" t="s">
        <v>170</v>
      </c>
      <c r="C41" s="9" t="s">
        <v>23</v>
      </c>
      <c r="D41" s="9" t="s">
        <v>22</v>
      </c>
      <c r="E41" s="9" t="s">
        <v>107</v>
      </c>
      <c r="F41" s="9" t="s">
        <v>169</v>
      </c>
      <c r="G41" s="10" t="s">
        <v>19</v>
      </c>
      <c r="H41" s="26">
        <v>9.6139080000000002E-2</v>
      </c>
      <c r="I41" s="26">
        <v>2.433418E-2</v>
      </c>
    </row>
    <row r="42" spans="1:9" x14ac:dyDescent="0.25">
      <c r="A42" s="9" t="s">
        <v>25</v>
      </c>
      <c r="B42" s="9" t="s">
        <v>168</v>
      </c>
      <c r="C42" s="9" t="s">
        <v>23</v>
      </c>
      <c r="D42" s="9" t="s">
        <v>22</v>
      </c>
      <c r="E42" s="9" t="s">
        <v>107</v>
      </c>
      <c r="F42" s="9" t="s">
        <v>167</v>
      </c>
      <c r="G42" s="10" t="s">
        <v>19</v>
      </c>
      <c r="H42" s="26">
        <v>0</v>
      </c>
      <c r="I42" s="26">
        <v>0</v>
      </c>
    </row>
    <row r="43" spans="1:9" x14ac:dyDescent="0.25">
      <c r="A43" s="9" t="s">
        <v>25</v>
      </c>
      <c r="B43" s="9" t="s">
        <v>166</v>
      </c>
      <c r="C43" s="9" t="s">
        <v>23</v>
      </c>
      <c r="D43" s="9" t="s">
        <v>22</v>
      </c>
      <c r="E43" s="9" t="s">
        <v>107</v>
      </c>
      <c r="F43" s="9" t="s">
        <v>165</v>
      </c>
      <c r="G43" s="10" t="s">
        <v>19</v>
      </c>
      <c r="H43" s="26">
        <v>4.0979999999999999E-4</v>
      </c>
      <c r="I43" s="26">
        <v>7.0329999999999999E-5</v>
      </c>
    </row>
    <row r="44" spans="1:9" x14ac:dyDescent="0.25">
      <c r="A44" s="9" t="s">
        <v>25</v>
      </c>
      <c r="B44" s="9" t="s">
        <v>164</v>
      </c>
      <c r="C44" s="9" t="s">
        <v>23</v>
      </c>
      <c r="D44" s="9" t="s">
        <v>22</v>
      </c>
      <c r="E44" s="9" t="s">
        <v>107</v>
      </c>
      <c r="F44" s="9" t="s">
        <v>163</v>
      </c>
      <c r="G44" s="10" t="s">
        <v>19</v>
      </c>
      <c r="H44" s="26">
        <v>0</v>
      </c>
      <c r="I44" s="26">
        <v>0</v>
      </c>
    </row>
    <row r="45" spans="1:9" x14ac:dyDescent="0.25">
      <c r="A45" s="9" t="s">
        <v>25</v>
      </c>
      <c r="B45" s="9" t="s">
        <v>162</v>
      </c>
      <c r="C45" s="9" t="s">
        <v>23</v>
      </c>
      <c r="D45" s="9" t="s">
        <v>22</v>
      </c>
      <c r="E45" s="9" t="s">
        <v>107</v>
      </c>
      <c r="F45" s="9" t="s">
        <v>161</v>
      </c>
      <c r="G45" s="10" t="s">
        <v>19</v>
      </c>
      <c r="H45" s="26">
        <v>4.8508199999999996E-3</v>
      </c>
      <c r="I45" s="26">
        <v>1.7072400000000001E-3</v>
      </c>
    </row>
    <row r="46" spans="1:9" x14ac:dyDescent="0.25">
      <c r="A46" s="9" t="s">
        <v>25</v>
      </c>
      <c r="B46" s="9" t="s">
        <v>160</v>
      </c>
      <c r="C46" s="9" t="s">
        <v>23</v>
      </c>
      <c r="D46" s="9" t="s">
        <v>22</v>
      </c>
      <c r="E46" s="9" t="s">
        <v>107</v>
      </c>
      <c r="F46" s="9" t="s">
        <v>159</v>
      </c>
      <c r="G46" s="10" t="s">
        <v>19</v>
      </c>
      <c r="H46" s="26">
        <v>0</v>
      </c>
      <c r="I46" s="26">
        <v>0</v>
      </c>
    </row>
    <row r="47" spans="1:9" x14ac:dyDescent="0.25">
      <c r="A47" s="9" t="s">
        <v>25</v>
      </c>
      <c r="B47" s="9" t="s">
        <v>158</v>
      </c>
      <c r="C47" s="9" t="s">
        <v>23</v>
      </c>
      <c r="D47" s="9" t="s">
        <v>22</v>
      </c>
      <c r="E47" s="9" t="s">
        <v>107</v>
      </c>
      <c r="F47" s="9" t="s">
        <v>157</v>
      </c>
      <c r="G47" s="10" t="s">
        <v>19</v>
      </c>
      <c r="H47" s="26">
        <v>4.0979999999999999E-4</v>
      </c>
      <c r="I47" s="26">
        <v>7.0329999999999999E-5</v>
      </c>
    </row>
    <row r="48" spans="1:9" x14ac:dyDescent="0.25">
      <c r="A48" s="9" t="s">
        <v>25</v>
      </c>
      <c r="B48" s="9" t="s">
        <v>156</v>
      </c>
      <c r="C48" s="9" t="s">
        <v>23</v>
      </c>
      <c r="D48" s="9" t="s">
        <v>22</v>
      </c>
      <c r="E48" s="9" t="s">
        <v>107</v>
      </c>
      <c r="F48" s="9" t="s">
        <v>155</v>
      </c>
      <c r="G48" s="10" t="s">
        <v>19</v>
      </c>
      <c r="H48" s="26">
        <v>0</v>
      </c>
      <c r="I48" s="26">
        <v>0</v>
      </c>
    </row>
    <row r="49" spans="1:9" x14ac:dyDescent="0.25">
      <c r="A49" s="9" t="s">
        <v>25</v>
      </c>
      <c r="B49" s="9" t="s">
        <v>154</v>
      </c>
      <c r="C49" s="9" t="s">
        <v>23</v>
      </c>
      <c r="D49" s="9" t="s">
        <v>22</v>
      </c>
      <c r="E49" s="9" t="s">
        <v>107</v>
      </c>
      <c r="F49" s="9" t="s">
        <v>153</v>
      </c>
      <c r="G49" s="10" t="s">
        <v>19</v>
      </c>
      <c r="H49" s="26">
        <v>4.4258400000000003E-3</v>
      </c>
      <c r="I49" s="26">
        <v>1.12528E-3</v>
      </c>
    </row>
    <row r="50" spans="1:9" x14ac:dyDescent="0.25">
      <c r="A50" s="9" t="s">
        <v>25</v>
      </c>
      <c r="B50" s="9" t="s">
        <v>152</v>
      </c>
      <c r="C50" s="9" t="s">
        <v>23</v>
      </c>
      <c r="D50" s="9" t="s">
        <v>22</v>
      </c>
      <c r="E50" s="9" t="s">
        <v>107</v>
      </c>
      <c r="F50" s="9" t="s">
        <v>151</v>
      </c>
      <c r="G50" s="10" t="s">
        <v>19</v>
      </c>
      <c r="H50" s="26">
        <v>0</v>
      </c>
      <c r="I50" s="26">
        <v>0</v>
      </c>
    </row>
    <row r="51" spans="1:9" x14ac:dyDescent="0.25">
      <c r="A51" s="9" t="s">
        <v>25</v>
      </c>
      <c r="B51" s="9" t="s">
        <v>150</v>
      </c>
      <c r="C51" s="9" t="s">
        <v>23</v>
      </c>
      <c r="D51" s="9" t="s">
        <v>22</v>
      </c>
      <c r="E51" s="9" t="s">
        <v>107</v>
      </c>
      <c r="F51" s="9" t="s">
        <v>149</v>
      </c>
      <c r="G51" s="10" t="s">
        <v>19</v>
      </c>
      <c r="H51" s="26">
        <v>1.55724E-2</v>
      </c>
      <c r="I51" s="26">
        <v>6.6110199999999996E-3</v>
      </c>
    </row>
    <row r="52" spans="1:9" x14ac:dyDescent="0.25">
      <c r="A52" s="9" t="s">
        <v>25</v>
      </c>
      <c r="B52" s="9" t="s">
        <v>148</v>
      </c>
      <c r="C52" s="9" t="s">
        <v>23</v>
      </c>
      <c r="D52" s="9" t="s">
        <v>22</v>
      </c>
      <c r="E52" s="9" t="s">
        <v>107</v>
      </c>
      <c r="F52" s="9" t="s">
        <v>147</v>
      </c>
      <c r="G52" s="10" t="s">
        <v>19</v>
      </c>
      <c r="H52" s="26">
        <v>0</v>
      </c>
      <c r="I52" s="26">
        <v>0</v>
      </c>
    </row>
    <row r="53" spans="1:9" x14ac:dyDescent="0.25">
      <c r="A53" s="9" t="s">
        <v>25</v>
      </c>
      <c r="B53" s="9" t="s">
        <v>146</v>
      </c>
      <c r="C53" s="9" t="s">
        <v>23</v>
      </c>
      <c r="D53" s="9" t="s">
        <v>22</v>
      </c>
      <c r="E53" s="9" t="s">
        <v>107</v>
      </c>
      <c r="F53" s="9" t="s">
        <v>145</v>
      </c>
      <c r="G53" s="10" t="s">
        <v>19</v>
      </c>
      <c r="H53" s="26">
        <v>7.9173359999999998E-2</v>
      </c>
      <c r="I53" s="26">
        <v>2.1872630000000001E-2</v>
      </c>
    </row>
    <row r="54" spans="1:9" x14ac:dyDescent="0.25">
      <c r="A54" s="9" t="s">
        <v>25</v>
      </c>
      <c r="B54" s="9" t="s">
        <v>144</v>
      </c>
      <c r="C54" s="9" t="s">
        <v>23</v>
      </c>
      <c r="D54" s="9" t="s">
        <v>22</v>
      </c>
      <c r="E54" s="9" t="s">
        <v>107</v>
      </c>
      <c r="F54" s="9" t="s">
        <v>143</v>
      </c>
      <c r="G54" s="10" t="s">
        <v>19</v>
      </c>
      <c r="H54" s="26">
        <v>0</v>
      </c>
      <c r="I54" s="26">
        <v>0</v>
      </c>
    </row>
    <row r="55" spans="1:9" x14ac:dyDescent="0.25">
      <c r="A55" s="9" t="s">
        <v>25</v>
      </c>
      <c r="B55" s="9" t="s">
        <v>142</v>
      </c>
      <c r="C55" s="9" t="s">
        <v>23</v>
      </c>
      <c r="D55" s="9" t="s">
        <v>22</v>
      </c>
      <c r="E55" s="9" t="s">
        <v>107</v>
      </c>
      <c r="F55" s="9" t="s">
        <v>141</v>
      </c>
      <c r="G55" s="10" t="s">
        <v>19</v>
      </c>
      <c r="H55" s="26">
        <v>0</v>
      </c>
      <c r="I55" s="26">
        <v>0</v>
      </c>
    </row>
    <row r="56" spans="1:9" x14ac:dyDescent="0.25">
      <c r="A56" s="9" t="s">
        <v>25</v>
      </c>
      <c r="B56" s="9" t="s">
        <v>140</v>
      </c>
      <c r="C56" s="9" t="s">
        <v>23</v>
      </c>
      <c r="D56" s="9" t="s">
        <v>22</v>
      </c>
      <c r="E56" s="9" t="s">
        <v>107</v>
      </c>
      <c r="F56" s="9" t="s">
        <v>139</v>
      </c>
      <c r="G56" s="10" t="s">
        <v>19</v>
      </c>
      <c r="H56" s="26">
        <v>0</v>
      </c>
      <c r="I56" s="26">
        <v>0</v>
      </c>
    </row>
    <row r="57" spans="1:9" x14ac:dyDescent="0.25">
      <c r="A57" s="9" t="s">
        <v>25</v>
      </c>
      <c r="B57" s="9" t="s">
        <v>138</v>
      </c>
      <c r="C57" s="9" t="s">
        <v>23</v>
      </c>
      <c r="D57" s="9" t="s">
        <v>22</v>
      </c>
      <c r="E57" s="9" t="s">
        <v>107</v>
      </c>
      <c r="F57" s="9" t="s">
        <v>137</v>
      </c>
      <c r="G57" s="10" t="s">
        <v>19</v>
      </c>
      <c r="H57" s="26">
        <v>1.7211600000000001E-2</v>
      </c>
      <c r="I57" s="26">
        <v>3.3758400000000002E-3</v>
      </c>
    </row>
    <row r="58" spans="1:9" x14ac:dyDescent="0.25">
      <c r="A58" s="9" t="s">
        <v>25</v>
      </c>
      <c r="B58" s="9" t="s">
        <v>136</v>
      </c>
      <c r="C58" s="9" t="s">
        <v>23</v>
      </c>
      <c r="D58" s="9" t="s">
        <v>22</v>
      </c>
      <c r="E58" s="9" t="s">
        <v>107</v>
      </c>
      <c r="F58" s="9" t="s">
        <v>135</v>
      </c>
      <c r="G58" s="10" t="s">
        <v>19</v>
      </c>
      <c r="H58" s="26">
        <v>0</v>
      </c>
      <c r="I58" s="26">
        <v>0</v>
      </c>
    </row>
    <row r="59" spans="1:9" x14ac:dyDescent="0.25">
      <c r="A59" s="9" t="s">
        <v>25</v>
      </c>
      <c r="B59" s="9" t="s">
        <v>134</v>
      </c>
      <c r="C59" s="9" t="s">
        <v>23</v>
      </c>
      <c r="D59" s="9" t="s">
        <v>22</v>
      </c>
      <c r="E59" s="9" t="s">
        <v>107</v>
      </c>
      <c r="F59" s="9" t="s">
        <v>133</v>
      </c>
      <c r="G59" s="10" t="s">
        <v>19</v>
      </c>
      <c r="H59" s="26">
        <v>2.975148E-2</v>
      </c>
      <c r="I59" s="26">
        <v>6.68135E-3</v>
      </c>
    </row>
    <row r="60" spans="1:9" x14ac:dyDescent="0.25">
      <c r="A60" s="9" t="s">
        <v>25</v>
      </c>
      <c r="B60" s="9" t="s">
        <v>132</v>
      </c>
      <c r="C60" s="9" t="s">
        <v>23</v>
      </c>
      <c r="D60" s="9" t="s">
        <v>22</v>
      </c>
      <c r="E60" s="9" t="s">
        <v>107</v>
      </c>
      <c r="F60" s="9" t="s">
        <v>131</v>
      </c>
      <c r="G60" s="10" t="s">
        <v>19</v>
      </c>
      <c r="H60" s="26">
        <v>0</v>
      </c>
      <c r="I60" s="26">
        <v>0</v>
      </c>
    </row>
    <row r="61" spans="1:9" x14ac:dyDescent="0.25">
      <c r="A61" s="9" t="s">
        <v>25</v>
      </c>
      <c r="B61" s="9" t="s">
        <v>130</v>
      </c>
      <c r="C61" s="9" t="s">
        <v>23</v>
      </c>
      <c r="D61" s="9" t="s">
        <v>22</v>
      </c>
      <c r="E61" s="9" t="s">
        <v>107</v>
      </c>
      <c r="F61" s="9" t="s">
        <v>129</v>
      </c>
      <c r="G61" s="10" t="s">
        <v>19</v>
      </c>
      <c r="H61" s="26">
        <v>2.671896E-2</v>
      </c>
      <c r="I61" s="26">
        <v>4.5714500000000003E-3</v>
      </c>
    </row>
    <row r="62" spans="1:9" x14ac:dyDescent="0.25">
      <c r="A62" s="9" t="s">
        <v>25</v>
      </c>
      <c r="B62" s="9" t="s">
        <v>128</v>
      </c>
      <c r="C62" s="9" t="s">
        <v>23</v>
      </c>
      <c r="D62" s="9" t="s">
        <v>22</v>
      </c>
      <c r="E62" s="9" t="s">
        <v>107</v>
      </c>
      <c r="F62" s="9" t="s">
        <v>127</v>
      </c>
      <c r="G62" s="10" t="s">
        <v>19</v>
      </c>
      <c r="H62" s="26">
        <v>0</v>
      </c>
      <c r="I62" s="26">
        <v>0</v>
      </c>
    </row>
    <row r="63" spans="1:9" x14ac:dyDescent="0.25">
      <c r="A63" s="9" t="s">
        <v>25</v>
      </c>
      <c r="B63" s="9" t="s">
        <v>126</v>
      </c>
      <c r="C63" s="9" t="s">
        <v>23</v>
      </c>
      <c r="D63" s="9" t="s">
        <v>22</v>
      </c>
      <c r="E63" s="9" t="s">
        <v>107</v>
      </c>
      <c r="F63" s="9" t="s">
        <v>125</v>
      </c>
      <c r="G63" s="10" t="s">
        <v>19</v>
      </c>
      <c r="H63" s="26">
        <v>1.131858E-2</v>
      </c>
      <c r="I63" s="26">
        <v>5.5381199999999997E-3</v>
      </c>
    </row>
    <row r="64" spans="1:9" x14ac:dyDescent="0.25">
      <c r="A64" s="9" t="s">
        <v>25</v>
      </c>
      <c r="B64" s="9" t="s">
        <v>124</v>
      </c>
      <c r="C64" s="9" t="s">
        <v>23</v>
      </c>
      <c r="D64" s="9" t="s">
        <v>22</v>
      </c>
      <c r="E64" s="9" t="s">
        <v>107</v>
      </c>
      <c r="F64" s="9" t="s">
        <v>123</v>
      </c>
      <c r="G64" s="10" t="s">
        <v>19</v>
      </c>
      <c r="H64" s="26">
        <v>0</v>
      </c>
      <c r="I64" s="26">
        <v>0</v>
      </c>
    </row>
    <row r="65" spans="1:9" x14ac:dyDescent="0.25">
      <c r="A65" s="9" t="s">
        <v>25</v>
      </c>
      <c r="B65" s="9" t="s">
        <v>122</v>
      </c>
      <c r="C65" s="9" t="s">
        <v>23</v>
      </c>
      <c r="D65" s="9" t="s">
        <v>22</v>
      </c>
      <c r="E65" s="9" t="s">
        <v>107</v>
      </c>
      <c r="F65" s="9" t="s">
        <v>121</v>
      </c>
      <c r="G65" s="10" t="s">
        <v>19</v>
      </c>
      <c r="H65" s="26">
        <v>1.253988E-2</v>
      </c>
      <c r="I65" s="26">
        <v>2.6022100000000002E-3</v>
      </c>
    </row>
    <row r="66" spans="1:9" x14ac:dyDescent="0.25">
      <c r="A66" s="9" t="s">
        <v>25</v>
      </c>
      <c r="B66" s="9" t="s">
        <v>120</v>
      </c>
      <c r="C66" s="9" t="s">
        <v>23</v>
      </c>
      <c r="D66" s="9" t="s">
        <v>22</v>
      </c>
      <c r="E66" s="9" t="s">
        <v>107</v>
      </c>
      <c r="F66" s="9" t="s">
        <v>119</v>
      </c>
      <c r="G66" s="10" t="s">
        <v>19</v>
      </c>
      <c r="H66" s="26">
        <v>0</v>
      </c>
      <c r="I66" s="26">
        <v>0</v>
      </c>
    </row>
    <row r="67" spans="1:9" x14ac:dyDescent="0.25">
      <c r="A67" s="9" t="s">
        <v>25</v>
      </c>
      <c r="B67" s="9" t="s">
        <v>118</v>
      </c>
      <c r="C67" s="9" t="s">
        <v>23</v>
      </c>
      <c r="D67" s="9" t="s">
        <v>22</v>
      </c>
      <c r="E67" s="9" t="s">
        <v>107</v>
      </c>
      <c r="F67" s="9" t="s">
        <v>117</v>
      </c>
      <c r="G67" s="10" t="s">
        <v>19</v>
      </c>
      <c r="H67" s="26">
        <v>0.13039835999999999</v>
      </c>
      <c r="I67" s="26">
        <v>3.1648500000000003E-2</v>
      </c>
    </row>
    <row r="68" spans="1:9" x14ac:dyDescent="0.25">
      <c r="A68" s="9" t="s">
        <v>25</v>
      </c>
      <c r="B68" s="9" t="s">
        <v>116</v>
      </c>
      <c r="C68" s="9" t="s">
        <v>23</v>
      </c>
      <c r="D68" s="9" t="s">
        <v>22</v>
      </c>
      <c r="E68" s="9" t="s">
        <v>107</v>
      </c>
      <c r="F68" s="9" t="s">
        <v>115</v>
      </c>
      <c r="G68" s="10" t="s">
        <v>19</v>
      </c>
      <c r="H68" s="26">
        <v>0</v>
      </c>
      <c r="I68" s="26">
        <v>0</v>
      </c>
    </row>
    <row r="69" spans="1:9" x14ac:dyDescent="0.25">
      <c r="A69" s="9" t="s">
        <v>25</v>
      </c>
      <c r="B69" s="9" t="s">
        <v>114</v>
      </c>
      <c r="C69" s="9" t="s">
        <v>23</v>
      </c>
      <c r="D69" s="9" t="s">
        <v>22</v>
      </c>
      <c r="E69" s="9" t="s">
        <v>107</v>
      </c>
      <c r="F69" s="9" t="s">
        <v>113</v>
      </c>
      <c r="G69" s="10" t="s">
        <v>19</v>
      </c>
      <c r="H69" s="26">
        <v>9.0156000000000003E-4</v>
      </c>
      <c r="I69" s="26">
        <v>1.4066E-4</v>
      </c>
    </row>
    <row r="70" spans="1:9" x14ac:dyDescent="0.25">
      <c r="A70" s="9" t="s">
        <v>25</v>
      </c>
      <c r="B70" s="9" t="s">
        <v>112</v>
      </c>
      <c r="C70" s="9" t="s">
        <v>23</v>
      </c>
      <c r="D70" s="9" t="s">
        <v>22</v>
      </c>
      <c r="E70" s="9" t="s">
        <v>107</v>
      </c>
      <c r="F70" s="9" t="s">
        <v>111</v>
      </c>
      <c r="G70" s="10" t="s">
        <v>19</v>
      </c>
      <c r="H70" s="26">
        <v>0</v>
      </c>
      <c r="I70" s="26">
        <v>0</v>
      </c>
    </row>
    <row r="71" spans="1:9" x14ac:dyDescent="0.25">
      <c r="A71" s="9" t="s">
        <v>25</v>
      </c>
      <c r="B71" s="9" t="s">
        <v>110</v>
      </c>
      <c r="C71" s="9" t="s">
        <v>23</v>
      </c>
      <c r="D71" s="9" t="s">
        <v>22</v>
      </c>
      <c r="E71" s="9" t="s">
        <v>107</v>
      </c>
      <c r="F71" s="9" t="s">
        <v>109</v>
      </c>
      <c r="G71" s="10" t="s">
        <v>19</v>
      </c>
      <c r="H71" s="26">
        <v>2.29488E-3</v>
      </c>
      <c r="I71" s="26">
        <v>5.6263999999999999E-4</v>
      </c>
    </row>
    <row r="72" spans="1:9" x14ac:dyDescent="0.25">
      <c r="A72" s="9" t="s">
        <v>25</v>
      </c>
      <c r="B72" s="9" t="s">
        <v>108</v>
      </c>
      <c r="C72" s="9" t="s">
        <v>23</v>
      </c>
      <c r="D72" s="9" t="s">
        <v>22</v>
      </c>
      <c r="E72" s="9" t="s">
        <v>107</v>
      </c>
      <c r="F72" s="9" t="s">
        <v>106</v>
      </c>
      <c r="G72" s="10" t="s">
        <v>19</v>
      </c>
      <c r="H72" s="26">
        <v>0</v>
      </c>
      <c r="I72" s="26">
        <v>0</v>
      </c>
    </row>
    <row r="73" spans="1:9" x14ac:dyDescent="0.25">
      <c r="A73" s="9" t="s">
        <v>25</v>
      </c>
      <c r="B73" s="9" t="s">
        <v>105</v>
      </c>
      <c r="C73" s="9" t="s">
        <v>23</v>
      </c>
      <c r="D73" s="9" t="s">
        <v>22</v>
      </c>
      <c r="E73" s="9" t="s">
        <v>21</v>
      </c>
      <c r="F73" s="9" t="s">
        <v>104</v>
      </c>
      <c r="G73" s="10" t="s">
        <v>19</v>
      </c>
      <c r="H73" s="26">
        <v>6.4000000000000001E-2</v>
      </c>
      <c r="I73" s="26">
        <v>3.39E-2</v>
      </c>
    </row>
    <row r="74" spans="1:9" x14ac:dyDescent="0.25">
      <c r="A74" s="9" t="s">
        <v>25</v>
      </c>
      <c r="B74" s="9" t="s">
        <v>103</v>
      </c>
      <c r="C74" s="9" t="s">
        <v>23</v>
      </c>
      <c r="D74" s="9" t="s">
        <v>22</v>
      </c>
      <c r="E74" s="9" t="s">
        <v>21</v>
      </c>
      <c r="F74" s="9" t="s">
        <v>102</v>
      </c>
      <c r="G74" s="10" t="s">
        <v>19</v>
      </c>
      <c r="H74" s="26">
        <v>7.9000000000000008E-3</v>
      </c>
      <c r="I74" s="26">
        <v>3.2000000000000002E-3</v>
      </c>
    </row>
    <row r="75" spans="1:9" x14ac:dyDescent="0.25">
      <c r="A75" s="9" t="s">
        <v>25</v>
      </c>
      <c r="B75" s="9" t="s">
        <v>101</v>
      </c>
      <c r="C75" s="9" t="s">
        <v>23</v>
      </c>
      <c r="D75" s="9" t="s">
        <v>22</v>
      </c>
      <c r="E75" s="9" t="s">
        <v>21</v>
      </c>
      <c r="F75" s="9" t="s">
        <v>100</v>
      </c>
      <c r="G75" s="10" t="s">
        <v>19</v>
      </c>
      <c r="H75" s="26">
        <v>5.5100000000000003E-2</v>
      </c>
      <c r="I75" s="26">
        <v>2.3699999999999999E-2</v>
      </c>
    </row>
    <row r="76" spans="1:9" x14ac:dyDescent="0.25">
      <c r="A76" s="9" t="s">
        <v>25</v>
      </c>
      <c r="B76" s="9" t="s">
        <v>99</v>
      </c>
      <c r="C76" s="9" t="s">
        <v>23</v>
      </c>
      <c r="D76" s="9" t="s">
        <v>22</v>
      </c>
      <c r="E76" s="9" t="s">
        <v>21</v>
      </c>
      <c r="F76" s="9" t="s">
        <v>98</v>
      </c>
      <c r="G76" s="10" t="s">
        <v>19</v>
      </c>
      <c r="H76" s="26">
        <v>2.2000000000000001E-3</v>
      </c>
      <c r="I76" s="26">
        <v>2.8999999999999998E-3</v>
      </c>
    </row>
    <row r="77" spans="1:9" x14ac:dyDescent="0.25">
      <c r="A77" s="9" t="s">
        <v>25</v>
      </c>
      <c r="B77" s="9" t="s">
        <v>97</v>
      </c>
      <c r="C77" s="9" t="s">
        <v>23</v>
      </c>
      <c r="D77" s="9" t="s">
        <v>22</v>
      </c>
      <c r="E77" s="9" t="s">
        <v>21</v>
      </c>
      <c r="F77" s="9" t="s">
        <v>96</v>
      </c>
      <c r="G77" s="10" t="s">
        <v>19</v>
      </c>
      <c r="H77" s="26">
        <v>2.5000000000000001E-2</v>
      </c>
      <c r="I77" s="26">
        <v>4.1999999999999997E-3</v>
      </c>
    </row>
    <row r="78" spans="1:9" x14ac:dyDescent="0.25">
      <c r="A78" s="9" t="s">
        <v>25</v>
      </c>
      <c r="B78" s="9" t="s">
        <v>95</v>
      </c>
      <c r="C78" s="9" t="s">
        <v>23</v>
      </c>
      <c r="D78" s="9" t="s">
        <v>22</v>
      </c>
      <c r="E78" s="9" t="s">
        <v>21</v>
      </c>
      <c r="F78" s="9" t="s">
        <v>94</v>
      </c>
      <c r="G78" s="10" t="s">
        <v>19</v>
      </c>
      <c r="H78" s="26">
        <v>2.5999999999999999E-3</v>
      </c>
      <c r="I78" s="26">
        <v>2.9999999999999997E-4</v>
      </c>
    </row>
    <row r="79" spans="1:9" x14ac:dyDescent="0.25">
      <c r="A79" s="9" t="s">
        <v>25</v>
      </c>
      <c r="B79" s="9" t="s">
        <v>93</v>
      </c>
      <c r="C79" s="9" t="s">
        <v>23</v>
      </c>
      <c r="D79" s="9" t="s">
        <v>22</v>
      </c>
      <c r="E79" s="9" t="s">
        <v>21</v>
      </c>
      <c r="F79" s="9" t="s">
        <v>92</v>
      </c>
      <c r="G79" s="10" t="s">
        <v>19</v>
      </c>
      <c r="H79" s="26">
        <v>3.0000000000000001E-3</v>
      </c>
      <c r="I79" s="26">
        <v>4.0000000000000002E-4</v>
      </c>
    </row>
    <row r="80" spans="1:9" x14ac:dyDescent="0.25">
      <c r="A80" s="9" t="s">
        <v>25</v>
      </c>
      <c r="B80" s="9" t="s">
        <v>91</v>
      </c>
      <c r="C80" s="9" t="s">
        <v>23</v>
      </c>
      <c r="D80" s="9" t="s">
        <v>22</v>
      </c>
      <c r="E80" s="9" t="s">
        <v>21</v>
      </c>
      <c r="F80" s="9" t="s">
        <v>90</v>
      </c>
      <c r="G80" s="10" t="s">
        <v>19</v>
      </c>
      <c r="H80" s="26">
        <v>2.9999999999999997E-4</v>
      </c>
      <c r="I80" s="26">
        <v>1E-4</v>
      </c>
    </row>
    <row r="81" spans="1:9" x14ac:dyDescent="0.25">
      <c r="A81" s="9" t="s">
        <v>25</v>
      </c>
      <c r="B81" s="9" t="s">
        <v>89</v>
      </c>
      <c r="C81" s="9" t="s">
        <v>23</v>
      </c>
      <c r="D81" s="9" t="s">
        <v>22</v>
      </c>
      <c r="E81" s="9" t="s">
        <v>21</v>
      </c>
      <c r="F81" s="9" t="s">
        <v>88</v>
      </c>
      <c r="G81" s="10" t="s">
        <v>19</v>
      </c>
      <c r="H81" s="26">
        <v>1.6000000000000001E-3</v>
      </c>
      <c r="I81" s="26">
        <v>4.0000000000000002E-4</v>
      </c>
    </row>
    <row r="82" spans="1:9" x14ac:dyDescent="0.25">
      <c r="A82" s="9" t="s">
        <v>25</v>
      </c>
      <c r="B82" s="9" t="s">
        <v>87</v>
      </c>
      <c r="C82" s="9" t="s">
        <v>23</v>
      </c>
      <c r="D82" s="9" t="s">
        <v>22</v>
      </c>
      <c r="E82" s="9" t="s">
        <v>21</v>
      </c>
      <c r="F82" s="9" t="s">
        <v>86</v>
      </c>
      <c r="G82" s="10" t="s">
        <v>19</v>
      </c>
      <c r="H82" s="26">
        <v>0.1089</v>
      </c>
      <c r="I82" s="26">
        <v>3.6700000000000003E-2</v>
      </c>
    </row>
    <row r="83" spans="1:9" x14ac:dyDescent="0.25">
      <c r="A83" s="9" t="s">
        <v>25</v>
      </c>
      <c r="B83" s="9" t="s">
        <v>85</v>
      </c>
      <c r="C83" s="9" t="s">
        <v>23</v>
      </c>
      <c r="D83" s="9" t="s">
        <v>22</v>
      </c>
      <c r="E83" s="9" t="s">
        <v>21</v>
      </c>
      <c r="F83" s="9" t="s">
        <v>84</v>
      </c>
      <c r="G83" s="10" t="s">
        <v>19</v>
      </c>
      <c r="H83" s="26">
        <v>2.4199999999999999E-2</v>
      </c>
      <c r="I83" s="26">
        <v>8.0000000000000002E-3</v>
      </c>
    </row>
    <row r="84" spans="1:9" x14ac:dyDescent="0.25">
      <c r="A84" s="9" t="s">
        <v>25</v>
      </c>
      <c r="B84" s="9" t="s">
        <v>83</v>
      </c>
      <c r="C84" s="9" t="s">
        <v>23</v>
      </c>
      <c r="D84" s="9" t="s">
        <v>22</v>
      </c>
      <c r="E84" s="9" t="s">
        <v>21</v>
      </c>
      <c r="F84" s="9" t="s">
        <v>82</v>
      </c>
      <c r="G84" s="10" t="s">
        <v>19</v>
      </c>
      <c r="H84" s="26">
        <v>7.0999999999999994E-2</v>
      </c>
      <c r="I84" s="26">
        <v>2.1899999999999999E-2</v>
      </c>
    </row>
    <row r="85" spans="1:9" x14ac:dyDescent="0.25">
      <c r="A85" s="9" t="s">
        <v>25</v>
      </c>
      <c r="B85" s="9" t="s">
        <v>81</v>
      </c>
      <c r="C85" s="9" t="s">
        <v>23</v>
      </c>
      <c r="D85" s="9" t="s">
        <v>22</v>
      </c>
      <c r="E85" s="9" t="s">
        <v>21</v>
      </c>
      <c r="F85" s="9" t="s">
        <v>80</v>
      </c>
      <c r="G85" s="10" t="s">
        <v>19</v>
      </c>
      <c r="H85" s="26">
        <v>1.1999999999999999E-3</v>
      </c>
      <c r="I85" s="26">
        <v>1.4E-3</v>
      </c>
    </row>
    <row r="86" spans="1:9" x14ac:dyDescent="0.25">
      <c r="A86" s="9" t="s">
        <v>25</v>
      </c>
      <c r="B86" s="9" t="s">
        <v>79</v>
      </c>
      <c r="C86" s="9" t="s">
        <v>23</v>
      </c>
      <c r="D86" s="9" t="s">
        <v>22</v>
      </c>
      <c r="E86" s="9" t="s">
        <v>21</v>
      </c>
      <c r="F86" s="9" t="s">
        <v>78</v>
      </c>
      <c r="G86" s="10" t="s">
        <v>19</v>
      </c>
      <c r="H86" s="26">
        <v>3.15E-2</v>
      </c>
      <c r="I86" s="26">
        <v>1.52E-2</v>
      </c>
    </row>
    <row r="87" spans="1:9" x14ac:dyDescent="0.25">
      <c r="A87" s="9" t="s">
        <v>25</v>
      </c>
      <c r="B87" s="9" t="s">
        <v>77</v>
      </c>
      <c r="C87" s="9" t="s">
        <v>23</v>
      </c>
      <c r="D87" s="9" t="s">
        <v>22</v>
      </c>
      <c r="E87" s="9" t="s">
        <v>21</v>
      </c>
      <c r="F87" s="9" t="s">
        <v>76</v>
      </c>
      <c r="G87" s="10" t="s">
        <v>19</v>
      </c>
      <c r="H87" s="26">
        <v>1.2999999999999999E-3</v>
      </c>
      <c r="I87" s="26">
        <v>1E-3</v>
      </c>
    </row>
    <row r="88" spans="1:9" x14ac:dyDescent="0.25">
      <c r="A88" s="9" t="s">
        <v>25</v>
      </c>
      <c r="B88" s="9" t="s">
        <v>75</v>
      </c>
      <c r="C88" s="9" t="s">
        <v>23</v>
      </c>
      <c r="D88" s="9" t="s">
        <v>22</v>
      </c>
      <c r="E88" s="9" t="s">
        <v>21</v>
      </c>
      <c r="F88" s="9" t="s">
        <v>74</v>
      </c>
      <c r="G88" s="10" t="s">
        <v>19</v>
      </c>
      <c r="H88" s="26">
        <v>2.3E-3</v>
      </c>
      <c r="I88" s="26">
        <v>1.1999999999999999E-3</v>
      </c>
    </row>
    <row r="89" spans="1:9" x14ac:dyDescent="0.25">
      <c r="A89" s="9" t="s">
        <v>25</v>
      </c>
      <c r="B89" s="9" t="s">
        <v>73</v>
      </c>
      <c r="C89" s="9" t="s">
        <v>23</v>
      </c>
      <c r="D89" s="9" t="s">
        <v>22</v>
      </c>
      <c r="E89" s="9" t="s">
        <v>21</v>
      </c>
      <c r="F89" s="9" t="s">
        <v>72</v>
      </c>
      <c r="G89" s="10" t="s">
        <v>19</v>
      </c>
      <c r="H89" s="26">
        <v>5.8999999999999999E-3</v>
      </c>
      <c r="I89" s="26">
        <v>2.3E-3</v>
      </c>
    </row>
    <row r="90" spans="1:9" x14ac:dyDescent="0.25">
      <c r="A90" s="9" t="s">
        <v>25</v>
      </c>
      <c r="B90" s="9" t="s">
        <v>71</v>
      </c>
      <c r="C90" s="9" t="s">
        <v>23</v>
      </c>
      <c r="D90" s="9" t="s">
        <v>22</v>
      </c>
      <c r="E90" s="9" t="s">
        <v>21</v>
      </c>
      <c r="F90" s="9" t="s">
        <v>70</v>
      </c>
      <c r="G90" s="10" t="s">
        <v>19</v>
      </c>
      <c r="H90" s="26">
        <v>3.0099999999999998E-2</v>
      </c>
      <c r="I90" s="26">
        <v>1.52E-2</v>
      </c>
    </row>
    <row r="91" spans="1:9" x14ac:dyDescent="0.25">
      <c r="A91" s="9" t="s">
        <v>25</v>
      </c>
      <c r="B91" s="9" t="s">
        <v>69</v>
      </c>
      <c r="C91" s="9" t="s">
        <v>23</v>
      </c>
      <c r="D91" s="9" t="s">
        <v>22</v>
      </c>
      <c r="E91" s="9" t="s">
        <v>21</v>
      </c>
      <c r="F91" s="9" t="s">
        <v>68</v>
      </c>
      <c r="G91" s="10" t="s">
        <v>19</v>
      </c>
      <c r="H91" s="26">
        <v>2.9700000000000001E-2</v>
      </c>
      <c r="I91" s="26">
        <v>5.4000000000000003E-3</v>
      </c>
    </row>
    <row r="92" spans="1:9" x14ac:dyDescent="0.25">
      <c r="A92" s="9" t="s">
        <v>25</v>
      </c>
      <c r="B92" s="9" t="s">
        <v>67</v>
      </c>
      <c r="C92" s="9" t="s">
        <v>23</v>
      </c>
      <c r="D92" s="9" t="s">
        <v>22</v>
      </c>
      <c r="E92" s="9" t="s">
        <v>21</v>
      </c>
      <c r="F92" s="9" t="s">
        <v>66</v>
      </c>
      <c r="G92" s="10" t="s">
        <v>19</v>
      </c>
      <c r="H92" s="26">
        <v>4.5199999999999997E-2</v>
      </c>
      <c r="I92" s="26">
        <v>2.2599999999999999E-2</v>
      </c>
    </row>
    <row r="93" spans="1:9" x14ac:dyDescent="0.25">
      <c r="A93" s="9" t="s">
        <v>25</v>
      </c>
      <c r="B93" s="9" t="s">
        <v>65</v>
      </c>
      <c r="C93" s="9" t="s">
        <v>23</v>
      </c>
      <c r="D93" s="9" t="s">
        <v>22</v>
      </c>
      <c r="E93" s="9" t="s">
        <v>21</v>
      </c>
      <c r="F93" s="9" t="s">
        <v>64</v>
      </c>
      <c r="G93" s="10" t="s">
        <v>19</v>
      </c>
      <c r="H93" s="26">
        <v>3.1E-2</v>
      </c>
      <c r="I93" s="26">
        <v>0.01</v>
      </c>
    </row>
    <row r="94" spans="1:9" x14ac:dyDescent="0.25">
      <c r="A94" s="9" t="s">
        <v>25</v>
      </c>
      <c r="B94" s="9" t="s">
        <v>63</v>
      </c>
      <c r="C94" s="9" t="s">
        <v>23</v>
      </c>
      <c r="D94" s="9" t="s">
        <v>22</v>
      </c>
      <c r="E94" s="9" t="s">
        <v>21</v>
      </c>
      <c r="F94" s="9" t="s">
        <v>62</v>
      </c>
      <c r="G94" s="10" t="s">
        <v>19</v>
      </c>
      <c r="H94" s="26">
        <v>2.8E-3</v>
      </c>
      <c r="I94" s="26">
        <v>5.9999999999999995E-4</v>
      </c>
    </row>
    <row r="95" spans="1:9" x14ac:dyDescent="0.25">
      <c r="A95" s="9" t="s">
        <v>25</v>
      </c>
      <c r="B95" s="9" t="s">
        <v>61</v>
      </c>
      <c r="C95" s="9" t="s">
        <v>23</v>
      </c>
      <c r="D95" s="9" t="s">
        <v>22</v>
      </c>
      <c r="E95" s="9" t="s">
        <v>21</v>
      </c>
      <c r="F95" s="9" t="s">
        <v>60</v>
      </c>
      <c r="G95" s="10" t="s">
        <v>19</v>
      </c>
      <c r="H95" s="26">
        <v>2.0199999999999999E-2</v>
      </c>
      <c r="I95" s="26">
        <v>1.4E-2</v>
      </c>
    </row>
    <row r="96" spans="1:9" x14ac:dyDescent="0.25">
      <c r="A96" s="9" t="s">
        <v>25</v>
      </c>
      <c r="B96" s="9" t="s">
        <v>59</v>
      </c>
      <c r="C96" s="9" t="s">
        <v>23</v>
      </c>
      <c r="D96" s="9" t="s">
        <v>22</v>
      </c>
      <c r="E96" s="9" t="s">
        <v>21</v>
      </c>
      <c r="F96" s="9" t="s">
        <v>58</v>
      </c>
      <c r="G96" s="10" t="s">
        <v>19</v>
      </c>
      <c r="H96" s="26">
        <v>7.3000000000000001E-3</v>
      </c>
      <c r="I96" s="26">
        <v>2.5999999999999999E-3</v>
      </c>
    </row>
    <row r="97" spans="1:9" x14ac:dyDescent="0.25">
      <c r="A97" s="9" t="s">
        <v>25</v>
      </c>
      <c r="B97" s="9" t="s">
        <v>57</v>
      </c>
      <c r="C97" s="9" t="s">
        <v>23</v>
      </c>
      <c r="D97" s="9" t="s">
        <v>22</v>
      </c>
      <c r="E97" s="9" t="s">
        <v>21</v>
      </c>
      <c r="F97" s="9" t="s">
        <v>56</v>
      </c>
      <c r="G97" s="10" t="s">
        <v>19</v>
      </c>
      <c r="H97" s="26">
        <v>5.8999999999999999E-3</v>
      </c>
      <c r="I97" s="26">
        <v>1.9E-3</v>
      </c>
    </row>
    <row r="98" spans="1:9" x14ac:dyDescent="0.25">
      <c r="A98" s="9" t="s">
        <v>25</v>
      </c>
      <c r="B98" s="9" t="s">
        <v>55</v>
      </c>
      <c r="C98" s="9" t="s">
        <v>23</v>
      </c>
      <c r="D98" s="9" t="s">
        <v>22</v>
      </c>
      <c r="E98" s="9" t="s">
        <v>21</v>
      </c>
      <c r="F98" s="9" t="s">
        <v>54</v>
      </c>
      <c r="G98" s="10" t="s">
        <v>19</v>
      </c>
      <c r="H98" s="26">
        <v>2.0299999999999999E-2</v>
      </c>
      <c r="I98" s="26">
        <v>9.9000000000000008E-3</v>
      </c>
    </row>
    <row r="99" spans="1:9" x14ac:dyDescent="0.25">
      <c r="A99" s="9" t="s">
        <v>25</v>
      </c>
      <c r="B99" s="9" t="s">
        <v>53</v>
      </c>
      <c r="C99" s="9" t="s">
        <v>23</v>
      </c>
      <c r="D99" s="9" t="s">
        <v>22</v>
      </c>
      <c r="E99" s="9" t="s">
        <v>21</v>
      </c>
      <c r="F99" s="9" t="s">
        <v>52</v>
      </c>
      <c r="G99" s="10" t="s">
        <v>19</v>
      </c>
      <c r="H99" s="26">
        <v>0.1787</v>
      </c>
      <c r="I99" s="26">
        <v>6.3200000000000006E-2</v>
      </c>
    </row>
    <row r="100" spans="1:9" x14ac:dyDescent="0.25">
      <c r="A100" s="9" t="s">
        <v>25</v>
      </c>
      <c r="B100" s="9" t="s">
        <v>51</v>
      </c>
      <c r="C100" s="9" t="s">
        <v>23</v>
      </c>
      <c r="D100" s="9" t="s">
        <v>22</v>
      </c>
      <c r="E100" s="9" t="s">
        <v>21</v>
      </c>
      <c r="F100" s="9" t="s">
        <v>50</v>
      </c>
      <c r="G100" s="10" t="s">
        <v>19</v>
      </c>
      <c r="H100" s="26">
        <v>0.24690000000000001</v>
      </c>
      <c r="I100" s="26">
        <v>7.7799999999999994E-2</v>
      </c>
    </row>
    <row r="101" spans="1:9" x14ac:dyDescent="0.25">
      <c r="A101" s="9" t="s">
        <v>25</v>
      </c>
      <c r="B101" s="9" t="s">
        <v>49</v>
      </c>
      <c r="C101" s="9" t="s">
        <v>23</v>
      </c>
      <c r="D101" s="9" t="s">
        <v>22</v>
      </c>
      <c r="E101" s="9" t="s">
        <v>21</v>
      </c>
      <c r="F101" s="9" t="s">
        <v>48</v>
      </c>
      <c r="G101" s="10" t="s">
        <v>19</v>
      </c>
      <c r="H101" s="26">
        <v>3.6499999999999998E-2</v>
      </c>
      <c r="I101" s="26">
        <v>1.21E-2</v>
      </c>
    </row>
    <row r="102" spans="1:9" x14ac:dyDescent="0.25">
      <c r="A102" s="9" t="s">
        <v>25</v>
      </c>
      <c r="B102" s="9" t="s">
        <v>47</v>
      </c>
      <c r="C102" s="9" t="s">
        <v>23</v>
      </c>
      <c r="D102" s="9" t="s">
        <v>22</v>
      </c>
      <c r="E102" s="9" t="s">
        <v>21</v>
      </c>
      <c r="F102" s="9" t="s">
        <v>46</v>
      </c>
      <c r="G102" s="10" t="s">
        <v>19</v>
      </c>
      <c r="H102" s="26">
        <v>8.09E-2</v>
      </c>
      <c r="I102" s="26">
        <v>2.6499999999999999E-2</v>
      </c>
    </row>
    <row r="103" spans="1:9" x14ac:dyDescent="0.25">
      <c r="A103" s="9" t="s">
        <v>25</v>
      </c>
      <c r="B103" s="9" t="s">
        <v>45</v>
      </c>
      <c r="C103" s="9" t="s">
        <v>23</v>
      </c>
      <c r="D103" s="9" t="s">
        <v>22</v>
      </c>
      <c r="E103" s="9" t="s">
        <v>21</v>
      </c>
      <c r="F103" s="9" t="s">
        <v>44</v>
      </c>
      <c r="G103" s="10" t="s">
        <v>19</v>
      </c>
      <c r="H103" s="26">
        <v>0.37880000000000003</v>
      </c>
      <c r="I103" s="26">
        <v>0.12740000000000001</v>
      </c>
    </row>
    <row r="104" spans="1:9" x14ac:dyDescent="0.25">
      <c r="A104" s="9" t="s">
        <v>25</v>
      </c>
      <c r="B104" s="9" t="s">
        <v>43</v>
      </c>
      <c r="C104" s="9" t="s">
        <v>23</v>
      </c>
      <c r="D104" s="9" t="s">
        <v>22</v>
      </c>
      <c r="E104" s="9" t="s">
        <v>21</v>
      </c>
      <c r="F104" s="9" t="s">
        <v>42</v>
      </c>
      <c r="G104" s="10" t="s">
        <v>19</v>
      </c>
      <c r="H104" s="26">
        <v>1.3100000000000001E-2</v>
      </c>
      <c r="I104" s="26">
        <v>5.1000000000000004E-3</v>
      </c>
    </row>
    <row r="105" spans="1:9" x14ac:dyDescent="0.25">
      <c r="A105" s="9" t="s">
        <v>25</v>
      </c>
      <c r="B105" s="9" t="s">
        <v>41</v>
      </c>
      <c r="C105" s="9" t="s">
        <v>23</v>
      </c>
      <c r="D105" s="9" t="s">
        <v>22</v>
      </c>
      <c r="E105" s="9" t="s">
        <v>21</v>
      </c>
      <c r="F105" s="9" t="s">
        <v>40</v>
      </c>
      <c r="G105" s="10" t="s">
        <v>19</v>
      </c>
      <c r="H105" s="26">
        <v>2.8999999999999998E-3</v>
      </c>
      <c r="I105" s="26">
        <v>1.1000000000000001E-3</v>
      </c>
    </row>
    <row r="106" spans="1:9" x14ac:dyDescent="0.25">
      <c r="A106" s="9" t="s">
        <v>25</v>
      </c>
      <c r="B106" s="9" t="s">
        <v>39</v>
      </c>
      <c r="C106" s="9" t="s">
        <v>23</v>
      </c>
      <c r="D106" s="9" t="s">
        <v>22</v>
      </c>
      <c r="E106" s="9" t="s">
        <v>21</v>
      </c>
      <c r="F106" s="9" t="s">
        <v>38</v>
      </c>
      <c r="G106" s="10" t="s">
        <v>19</v>
      </c>
      <c r="H106" s="26">
        <v>1.4200000000000001E-2</v>
      </c>
      <c r="I106" s="26">
        <v>6.8999999999999999E-3</v>
      </c>
    </row>
    <row r="107" spans="1:9" x14ac:dyDescent="0.25">
      <c r="A107" s="9" t="s">
        <v>25</v>
      </c>
      <c r="B107" s="9" t="s">
        <v>37</v>
      </c>
      <c r="C107" s="9" t="s">
        <v>23</v>
      </c>
      <c r="D107" s="9" t="s">
        <v>22</v>
      </c>
      <c r="E107" s="9" t="s">
        <v>21</v>
      </c>
      <c r="F107" s="9" t="s">
        <v>36</v>
      </c>
      <c r="G107" s="10" t="s">
        <v>19</v>
      </c>
      <c r="H107" s="26">
        <v>4.0000000000000001E-3</v>
      </c>
      <c r="I107" s="26">
        <v>1.1000000000000001E-3</v>
      </c>
    </row>
    <row r="108" spans="1:9" x14ac:dyDescent="0.25">
      <c r="A108" s="9" t="s">
        <v>25</v>
      </c>
      <c r="B108" s="9" t="s">
        <v>35</v>
      </c>
      <c r="C108" s="9" t="s">
        <v>23</v>
      </c>
      <c r="D108" s="9" t="s">
        <v>22</v>
      </c>
      <c r="E108" s="9" t="s">
        <v>21</v>
      </c>
      <c r="F108" s="9" t="s">
        <v>34</v>
      </c>
      <c r="G108" s="10" t="s">
        <v>19</v>
      </c>
      <c r="H108" s="26">
        <v>8.6199999999999999E-2</v>
      </c>
      <c r="I108" s="26">
        <v>4.1300000000000003E-2</v>
      </c>
    </row>
    <row r="109" spans="1:9" x14ac:dyDescent="0.25">
      <c r="A109" s="9" t="s">
        <v>25</v>
      </c>
      <c r="B109" s="9" t="s">
        <v>33</v>
      </c>
      <c r="C109" s="9" t="s">
        <v>23</v>
      </c>
      <c r="D109" s="9" t="s">
        <v>22</v>
      </c>
      <c r="E109" s="9" t="s">
        <v>21</v>
      </c>
      <c r="F109" s="9" t="s">
        <v>32</v>
      </c>
      <c r="G109" s="10" t="s">
        <v>19</v>
      </c>
      <c r="H109" s="26">
        <v>5.8400000000000001E-2</v>
      </c>
      <c r="I109" s="26">
        <v>1.83E-2</v>
      </c>
    </row>
    <row r="110" spans="1:9" x14ac:dyDescent="0.25">
      <c r="A110" s="9" t="s">
        <v>25</v>
      </c>
      <c r="B110" s="9" t="s">
        <v>31</v>
      </c>
      <c r="C110" s="9" t="s">
        <v>23</v>
      </c>
      <c r="D110" s="9" t="s">
        <v>22</v>
      </c>
      <c r="E110" s="9" t="s">
        <v>21</v>
      </c>
      <c r="F110" s="9" t="s">
        <v>30</v>
      </c>
      <c r="G110" s="10" t="s">
        <v>19</v>
      </c>
      <c r="H110" s="26">
        <v>4.0000000000000002E-4</v>
      </c>
      <c r="I110" s="26">
        <v>2.9999999999999997E-4</v>
      </c>
    </row>
    <row r="111" spans="1:9" x14ac:dyDescent="0.25">
      <c r="A111" s="9" t="s">
        <v>25</v>
      </c>
      <c r="B111" s="9" t="s">
        <v>29</v>
      </c>
      <c r="C111" s="9" t="s">
        <v>23</v>
      </c>
      <c r="D111" s="9" t="s">
        <v>22</v>
      </c>
      <c r="E111" s="9" t="s">
        <v>21</v>
      </c>
      <c r="F111" s="9" t="s">
        <v>28</v>
      </c>
      <c r="G111" s="10" t="s">
        <v>19</v>
      </c>
      <c r="H111" s="26">
        <v>1E-4</v>
      </c>
      <c r="I111" s="26">
        <v>0</v>
      </c>
    </row>
    <row r="112" spans="1:9" x14ac:dyDescent="0.25">
      <c r="A112" s="9" t="s">
        <v>25</v>
      </c>
      <c r="B112" s="9" t="s">
        <v>27</v>
      </c>
      <c r="C112" s="9" t="s">
        <v>23</v>
      </c>
      <c r="D112" s="9" t="s">
        <v>22</v>
      </c>
      <c r="E112" s="9" t="s">
        <v>21</v>
      </c>
      <c r="F112" s="9" t="s">
        <v>26</v>
      </c>
      <c r="G112" s="10" t="s">
        <v>19</v>
      </c>
      <c r="H112" s="26">
        <v>5.8999999999999999E-3</v>
      </c>
      <c r="I112" s="26">
        <v>2.0999999999999999E-3</v>
      </c>
    </row>
    <row r="113" spans="1:9" x14ac:dyDescent="0.25">
      <c r="A113" s="9" t="s">
        <v>25</v>
      </c>
      <c r="B113" s="9" t="s">
        <v>24</v>
      </c>
      <c r="C113" s="9" t="s">
        <v>23</v>
      </c>
      <c r="D113" s="9" t="s">
        <v>22</v>
      </c>
      <c r="E113" s="9" t="s">
        <v>21</v>
      </c>
      <c r="F113" s="9" t="s">
        <v>20</v>
      </c>
      <c r="G113" s="10" t="s">
        <v>19</v>
      </c>
      <c r="H113" s="26">
        <v>1.6999999999999999E-3</v>
      </c>
      <c r="I113" s="26">
        <v>8.0000000000000004E-4</v>
      </c>
    </row>
    <row r="179" spans="10:12" x14ac:dyDescent="0.25">
      <c r="J179">
        <v>0.4</v>
      </c>
      <c r="K179">
        <v>0.1</v>
      </c>
      <c r="L179">
        <v>0.1</v>
      </c>
    </row>
    <row r="225" spans="10:12" x14ac:dyDescent="0.25">
      <c r="J225">
        <v>0.1</v>
      </c>
      <c r="K225">
        <v>0</v>
      </c>
      <c r="L225">
        <v>0</v>
      </c>
    </row>
    <row r="234" spans="10:12" x14ac:dyDescent="0.25">
      <c r="J234">
        <v>0.2</v>
      </c>
      <c r="K234">
        <v>0.1</v>
      </c>
      <c r="L234">
        <v>0</v>
      </c>
    </row>
    <row r="241" spans="10:12" x14ac:dyDescent="0.25">
      <c r="J241">
        <v>3.4</v>
      </c>
      <c r="K241">
        <v>1.3</v>
      </c>
      <c r="L241">
        <v>1</v>
      </c>
    </row>
    <row r="250" spans="10:12" x14ac:dyDescent="0.25">
      <c r="J250">
        <v>0.6</v>
      </c>
      <c r="K250">
        <v>0.3</v>
      </c>
      <c r="L250">
        <v>0.2</v>
      </c>
    </row>
    <row r="412" spans="10:12" x14ac:dyDescent="0.25">
      <c r="J412">
        <v>5.4</v>
      </c>
      <c r="K412">
        <v>5.5</v>
      </c>
      <c r="L412">
        <v>6</v>
      </c>
    </row>
    <row r="556" spans="10:12" x14ac:dyDescent="0.25">
      <c r="J556">
        <v>11.9</v>
      </c>
      <c r="K556">
        <v>6.4</v>
      </c>
      <c r="L556">
        <v>4.9000000000000004</v>
      </c>
    </row>
    <row r="563" spans="10:12" x14ac:dyDescent="0.25">
      <c r="J563">
        <v>0</v>
      </c>
      <c r="K563">
        <v>0</v>
      </c>
      <c r="L563">
        <v>0</v>
      </c>
    </row>
    <row r="566" spans="10:12" x14ac:dyDescent="0.25">
      <c r="J566">
        <v>65.599999999999994</v>
      </c>
      <c r="K566">
        <v>38</v>
      </c>
      <c r="L566">
        <v>29.5</v>
      </c>
    </row>
  </sheetData>
  <mergeCells count="1">
    <mergeCell ref="N2:U2"/>
  </mergeCells>
  <hyperlinks>
    <hyperlink ref="G2" r:id="rId1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Summary</vt:lpstr>
      <vt:lpstr>On-Road</vt:lpstr>
      <vt:lpstr>Aircraft</vt:lpstr>
      <vt:lpstr>GSE</vt:lpstr>
      <vt:lpstr>Stacked 2023</vt:lpstr>
    </vt:vector>
  </TitlesOfParts>
  <Company>South Coast A.Q.M.D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Laybourn</dc:creator>
  <cp:lastModifiedBy>Ian MacMillan</cp:lastModifiedBy>
  <cp:lastPrinted>2017-12-14T01:39:53Z</cp:lastPrinted>
  <dcterms:created xsi:type="dcterms:W3CDTF">2017-12-13T23:50:43Z</dcterms:created>
  <dcterms:modified xsi:type="dcterms:W3CDTF">2018-01-25T22:08:22Z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a65f82cf-8bcf-4a22-a748-c7e10828e03c</vt:lpwstr>
  </property>
</Properties>
</file>