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Title Page" sheetId="1" r:id="rId1"/>
    <sheet name="Tosco Const. Emiss. C5 Shipping" sheetId="2" r:id="rId2"/>
    <sheet name="Emission Factor Calcs" sheetId="3" r:id="rId3"/>
    <sheet name="Tosco Const. Trip Emissions" sheetId="4" r:id="rId4"/>
    <sheet name="Fugitive Vehicle Emissions" sheetId="5" r:id="rId5"/>
    <sheet name="Addendum HRA" sheetId="6" r:id="rId6"/>
    <sheet name="Railcar Emissions" sheetId="7" r:id="rId7"/>
  </sheets>
  <externalReferences>
    <externalReference r:id="rId10"/>
    <externalReference r:id="rId11"/>
    <externalReference r:id="rId12"/>
  </externalReferences>
  <definedNames>
    <definedName name="baselinetanks">'[2]Baseline Tank VOCs'!$A$1:$BS$42</definedName>
    <definedName name="postprojectefrtanks">'[2]Post Project Tanks - EFR'!$A$1:$BS$28</definedName>
    <definedName name="postprojectfixedtanks">'[2]Post Project Tanks - Fixed'!$A$1:$BS$11</definedName>
    <definedName name="_xlnm.Print_Area" localSheetId="3">'Tosco Const. Trip Emissions'!$A$1:$L$34</definedName>
    <definedName name="_xlnm.Print_Titles" localSheetId="2">'Emission Factor Calcs'!$11:$11</definedName>
    <definedName name="projecttankemissions">#REF!</definedName>
    <definedName name="stackflow56h1">'[1]Combustion Source Test Data'!#REF!</definedName>
    <definedName name="Tank_Emissions_Data">'[3]Tank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<sst xmlns="http://schemas.openxmlformats.org/spreadsheetml/2006/main" count="290" uniqueCount="196">
  <si>
    <t>Compound</t>
  </si>
  <si>
    <t>n-pentane</t>
  </si>
  <si>
    <t>isopentane</t>
  </si>
  <si>
    <r>
      <t>(1)  Partition Coefficient at 1 atm and 75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 from Smith and Van Ness, Introduction to Chemical Engineering Thermodynamics, Figure 8-19, pg. 329.</t>
    </r>
  </si>
  <si>
    <t>Tank 465 (lbs/yr)</t>
  </si>
  <si>
    <t>Total (lb/yr)</t>
  </si>
  <si>
    <t>Mass (vap)</t>
  </si>
  <si>
    <t>Calculated TAC Emissions</t>
  </si>
  <si>
    <r>
      <t xml:space="preserve">K                       </t>
    </r>
    <r>
      <rPr>
        <b/>
        <sz val="8"/>
        <rFont val="Arial"/>
        <family val="2"/>
      </rPr>
      <t>(1 atm, 75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F)</t>
    </r>
    <r>
      <rPr>
        <b/>
        <vertAlign val="superscript"/>
        <sz val="10"/>
        <rFont val="Arial"/>
        <family val="2"/>
      </rPr>
      <t>(1)</t>
    </r>
  </si>
  <si>
    <t>Moles     (vap)</t>
  </si>
  <si>
    <t>Mole Frac. (liq)</t>
  </si>
  <si>
    <t>Mole Frac. (vap)</t>
  </si>
  <si>
    <t>MW</t>
  </si>
  <si>
    <t>Mass Frac. (vap)</t>
  </si>
  <si>
    <t>Load/ Unload (lb/yr)</t>
  </si>
  <si>
    <t>n-hexane (TAC)</t>
  </si>
  <si>
    <t>SCAQMD Tier 2 Risk Assessment</t>
  </si>
  <si>
    <t>Table 5A for closest receptor distance of 25 meters</t>
  </si>
  <si>
    <t xml:space="preserve">X/Q  = </t>
  </si>
  <si>
    <r>
      <t>(m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>/(tons/yr)</t>
    </r>
  </si>
  <si>
    <t xml:space="preserve">MET = </t>
  </si>
  <si>
    <t>Table 5B for King Harbor</t>
  </si>
  <si>
    <t>Table 8A for hexane</t>
  </si>
  <si>
    <t xml:space="preserve">Chronic REL = </t>
  </si>
  <si>
    <t xml:space="preserve">MP = </t>
  </si>
  <si>
    <t>Chronic Hazard Index = [Q * (X/Q) * MET * MP]/ REL</t>
  </si>
  <si>
    <t>Chronic Hazard Index =</t>
  </si>
  <si>
    <t>&lt;&lt;1</t>
  </si>
  <si>
    <t>From SCAQMD’s Risk Assessment Procedures for Rules 1401 and 212, Attachment G (Version 6.0, August 2000).</t>
  </si>
  <si>
    <t>Cargo Weight (Rail Car and Freight)</t>
  </si>
  <si>
    <t>Volume of Butane Transp.</t>
  </si>
  <si>
    <t>gpy</t>
  </si>
  <si>
    <t>Gallons per railcar</t>
  </si>
  <si>
    <t>gal</t>
  </si>
  <si>
    <t>Number of Railcars</t>
  </si>
  <si>
    <t>cars/yr</t>
  </si>
  <si>
    <t>Rail car weight</t>
  </si>
  <si>
    <t>tons/car</t>
  </si>
  <si>
    <t>Total Rail Car Weight</t>
  </si>
  <si>
    <t>tons/yr</t>
  </si>
  <si>
    <t xml:space="preserve"> </t>
  </si>
  <si>
    <t>Weight of Butane</t>
  </si>
  <si>
    <t>Gross Weight</t>
  </si>
  <si>
    <t>tons</t>
  </si>
  <si>
    <t>Fuel Consumption</t>
  </si>
  <si>
    <t>Distance within CA outside of Air Basin</t>
  </si>
  <si>
    <t>miles</t>
  </si>
  <si>
    <t>Total tons-mile</t>
  </si>
  <si>
    <t>tons-mile</t>
  </si>
  <si>
    <t>Average Fuel efficiency</t>
  </si>
  <si>
    <t>ton-mile/gal</t>
  </si>
  <si>
    <t>Total Fuel consumption</t>
  </si>
  <si>
    <t>gal/yr</t>
  </si>
  <si>
    <t>Distance within CA inside of Air Basin</t>
  </si>
  <si>
    <t>Total tons/mile</t>
  </si>
  <si>
    <t>CO</t>
  </si>
  <si>
    <t>VOC</t>
  </si>
  <si>
    <t>NOx</t>
  </si>
  <si>
    <t>SOx</t>
  </si>
  <si>
    <t>PM10</t>
  </si>
  <si>
    <t>gram/gallon</t>
  </si>
  <si>
    <t>lbs/gallon</t>
  </si>
  <si>
    <t>Link</t>
  </si>
  <si>
    <t>EMISSIONS</t>
  </si>
  <si>
    <t>Within Basin (lbs/yr)</t>
  </si>
  <si>
    <t>Within Basin (lbs/day)</t>
  </si>
  <si>
    <t>Outside Basin (lbs/yr)</t>
  </si>
  <si>
    <t>Outside Basin (lbs/day)</t>
  </si>
  <si>
    <t>(1)  Emission factors are based on Emission Factors for Locomotives, U.S. EPA 420-F-97-05, December 1997.</t>
  </si>
  <si>
    <t>N:2021Emissions</t>
  </si>
  <si>
    <r>
      <t>EMISSION FACTORS</t>
    </r>
    <r>
      <rPr>
        <vertAlign val="superscript"/>
        <sz val="10"/>
        <rFont val="Arial"/>
        <family val="2"/>
      </rPr>
      <t>(1)</t>
    </r>
  </si>
  <si>
    <t>Construction Equipment</t>
  </si>
  <si>
    <t>Equipment Type</t>
  </si>
  <si>
    <t xml:space="preserve">Hours </t>
  </si>
  <si>
    <t>Emission Factors lb/hr</t>
  </si>
  <si>
    <t>Daily Emissions (lbs/day)</t>
  </si>
  <si>
    <t xml:space="preserve">Number </t>
  </si>
  <si>
    <t>Per Day</t>
  </si>
  <si>
    <t>Backhoe</t>
  </si>
  <si>
    <t>Cranes</t>
  </si>
  <si>
    <t>Dump Trucks</t>
  </si>
  <si>
    <t>Flatbed Truck</t>
  </si>
  <si>
    <t>Forklift 4000 lb.</t>
  </si>
  <si>
    <t>Weld Machine</t>
  </si>
  <si>
    <t>Drum Roller</t>
  </si>
  <si>
    <t>Total Emission Totals</t>
  </si>
  <si>
    <t>* Emissions factors from SCAQMD CEQA Air Quality Handbook, Table 9-8-A.</t>
  </si>
  <si>
    <t xml:space="preserve">* Emissions factors from SCAQMD CEQA Air Quality Handbook, Table 9-8-C.  </t>
  </si>
  <si>
    <t>MRBWORD:2021Tosco Const. Emiss. C5 Shipping</t>
  </si>
  <si>
    <t>On Road Mobile Emission Factors from California ARB EMFAC2000</t>
  </si>
  <si>
    <t>Vehicle Type</t>
  </si>
  <si>
    <t>Exhaust Emissions Factor (g/mile)</t>
  </si>
  <si>
    <t>Continuous Start EF (g/trip)</t>
  </si>
  <si>
    <t>Exhaust Emission Factor (g/mile)</t>
  </si>
  <si>
    <t>Hot Soak Factor (g/trip)</t>
  </si>
  <si>
    <t>Diurmal &amp; Resting Losses (g/hr)</t>
  </si>
  <si>
    <t>Evap Running Losses (g/mile)</t>
  </si>
  <si>
    <t>Emission Factor (g/mile)</t>
  </si>
  <si>
    <t>Construction Workers Commuting</t>
  </si>
  <si>
    <t>Light Duty Trucks</t>
  </si>
  <si>
    <t>Heavy Diesel Trucks</t>
  </si>
  <si>
    <t>NA</t>
  </si>
  <si>
    <t>Parameters</t>
  </si>
  <si>
    <t>Peak Day Emissions, lbs/day</t>
  </si>
  <si>
    <t>Number of Vehicles</t>
  </si>
  <si>
    <t>Total Number of Trips</t>
  </si>
  <si>
    <t>Distance Traveled In Miles</t>
  </si>
  <si>
    <t>Source</t>
  </si>
  <si>
    <t xml:space="preserve">Exhaust Emissions </t>
  </si>
  <si>
    <t>Continuous Start Emissions</t>
  </si>
  <si>
    <t xml:space="preserve">Exhaust &amp; Running Emission </t>
  </si>
  <si>
    <t>Other VOC Emissions</t>
  </si>
  <si>
    <t>Diurnal and Resting Loss Emissions</t>
  </si>
  <si>
    <t xml:space="preserve">Exhaust Emission </t>
  </si>
  <si>
    <t xml:space="preserve">Emission </t>
  </si>
  <si>
    <t xml:space="preserve">Construction Workers Commuting </t>
  </si>
  <si>
    <t>Daily Delivery Trucks</t>
  </si>
  <si>
    <t xml:space="preserve">Total Emissions for Construction Workers Commuting </t>
  </si>
  <si>
    <t>Total Emissions for Light Duty Trucks</t>
  </si>
  <si>
    <t>Total Emissions for Heavy Diesel Trucks</t>
  </si>
  <si>
    <t>Total Trip Emissions</t>
  </si>
  <si>
    <t>Emission factors for light duty trucks include trucks have non-catalyst/gasoline, catalyst/gasoline engines, and diesel engines</t>
  </si>
  <si>
    <t>Diurnal &amp; Resting losses vehicle ROG emission based on the vehicle being not being operated and the ambient temperature is rising</t>
  </si>
  <si>
    <t>Based on California ARB EMFAC2000 model years 1965-2001, state-wide annual simple averages</t>
  </si>
  <si>
    <t>EMFAC2000 was finalized in May 2000</t>
  </si>
  <si>
    <t>MRBWORD:2021:Construction Equipment Emissions:Const. Trip Emissions revised</t>
  </si>
  <si>
    <t xml:space="preserve"> Calendar Year: 2001 -- Model Years: 1965 to 2001 -- Statewide Totals                                                                      </t>
  </si>
  <si>
    <t xml:space="preserve">     Project 1936 Scenario                                                                                                                                                             </t>
  </si>
  <si>
    <t xml:space="preserve"> EMFAC2000 Version 2.02</t>
  </si>
  <si>
    <t>LDA-TOT</t>
  </si>
  <si>
    <t>LDT1-TOT</t>
  </si>
  <si>
    <t>LDT2-TOT</t>
  </si>
  <si>
    <t>HHDT-TOT</t>
  </si>
  <si>
    <t xml:space="preserve"> Vehicles</t>
  </si>
  <si>
    <t xml:space="preserve"> VMT/1000</t>
  </si>
  <si>
    <t xml:space="preserve"> Trips   </t>
  </si>
  <si>
    <t>Emission Factors LDA</t>
  </si>
  <si>
    <t>Emission Factors LDT 1&amp;2</t>
  </si>
  <si>
    <t>Emission Factors HHDT</t>
  </si>
  <si>
    <t>Emissions (tons/day)</t>
  </si>
  <si>
    <t>Exhaust (g/mi)</t>
  </si>
  <si>
    <t>Continuous Start (g/trip)</t>
  </si>
  <si>
    <t>Hot Soak (g/trip)</t>
  </si>
  <si>
    <t>Diurnal &amp; Resting Losses (g/mi)</t>
  </si>
  <si>
    <t>Evap Running Loss (g/mi)</t>
  </si>
  <si>
    <t xml:space="preserve">                                                                                  Reactive Organic Gas Emissions</t>
  </si>
  <si>
    <t xml:space="preserve"> Run Exh </t>
  </si>
  <si>
    <t xml:space="preserve"> Idle Exh</t>
  </si>
  <si>
    <t xml:space="preserve"> Start Ex</t>
  </si>
  <si>
    <t xml:space="preserve"> Total Ex</t>
  </si>
  <si>
    <t xml:space="preserve"> Diurnal </t>
  </si>
  <si>
    <t xml:space="preserve"> Hot Soak</t>
  </si>
  <si>
    <t xml:space="preserve"> Running </t>
  </si>
  <si>
    <t xml:space="preserve"> Resting </t>
  </si>
  <si>
    <t xml:space="preserve"> Total   </t>
  </si>
  <si>
    <t xml:space="preserve">                                                                                    Carbon Monoxide Emissions   </t>
  </si>
  <si>
    <t xml:space="preserve">                                                                                   Oxides of Nitrogen Emissions </t>
  </si>
  <si>
    <t xml:space="preserve">                                                                                  Carbon Dioxide Emissions (000)</t>
  </si>
  <si>
    <t xml:space="preserve">                                                                                         PM10 Emissions         </t>
  </si>
  <si>
    <t xml:space="preserve"> TireWear</t>
  </si>
  <si>
    <t xml:space="preserve"> BrakeWr </t>
  </si>
  <si>
    <t xml:space="preserve"> Lead    </t>
  </si>
  <si>
    <t xml:space="preserve"> SOx     </t>
  </si>
  <si>
    <t>Fuel Consumption (1000 gallons)</t>
  </si>
  <si>
    <t xml:space="preserve"> Gasoline</t>
  </si>
  <si>
    <t xml:space="preserve"> Diesel  </t>
  </si>
  <si>
    <t xml:space="preserve"> Fugitive Dust Construction Emission Estimates</t>
  </si>
  <si>
    <t>From Trucks and Employee Vehicles</t>
  </si>
  <si>
    <t>Source Type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</si>
  <si>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</si>
  <si>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</si>
  <si>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</si>
  <si>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</si>
  <si>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</si>
  <si>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</si>
  <si>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</si>
  <si>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</si>
  <si>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(with street cleaning)</t>
  </si>
  <si>
    <t>Trucks on Paved Roadways</t>
  </si>
  <si>
    <t>Diesel</t>
  </si>
  <si>
    <t>Total</t>
  </si>
  <si>
    <t>* Emission Calculations for travel on paved roads from EPA AP-42 Section 13.2.1</t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</si>
  <si>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</si>
  <si>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</si>
  <si>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and 20 for heavy trucks)</t>
  </si>
  <si>
    <t>**Emission Calculations for travel on unpaved roads from EPA AP-42 Section 13.2.2</t>
  </si>
  <si>
    <t xml:space="preserve">Where:  s = surface silt content (assumed to be 11%, AP-42 Table 13.2.2-1), W = vehicle weight (tons) same assumptions as above, and </t>
  </si>
  <si>
    <t>M = material moisture content (assumed to be 10 percent since these emissions would only come from a water truck watering the site).</t>
  </si>
  <si>
    <t>MRBWORD:2021\Tosco addendum\Construction - Fugitive Emissions</t>
  </si>
  <si>
    <r>
      <t xml:space="preserve">Table 9-8-C, </t>
    </r>
    <r>
      <rPr>
        <i/>
        <sz val="8"/>
        <rFont val="Arial"/>
        <family val="2"/>
      </rPr>
      <t>Pounds/hour calculated from load factor and hp rating.</t>
    </r>
  </si>
  <si>
    <r>
      <t xml:space="preserve">* Trucks Emissions factors from SCAQMD CEQA Air Quality Handbook Table 9-8-A, </t>
    </r>
    <r>
      <rPr>
        <i/>
        <sz val="8"/>
        <rFont val="Arial"/>
        <family val="2"/>
      </rPr>
      <t>Trucks:off highway diesel used for truck:pickup/stake bed.</t>
    </r>
  </si>
  <si>
    <r>
      <t xml:space="preserve">* Emissions factors from SCAQMD CEQA Air Quality Handbook, Table 9-8-A, </t>
    </r>
    <r>
      <rPr>
        <i/>
        <sz val="8"/>
        <rFont val="Arial"/>
        <family val="2"/>
      </rPr>
      <t>Emissions for equipment not specifically listed can be found under miscellaneous.</t>
    </r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</si>
  <si>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 xml:space="preserve">1.5  </t>
    </r>
  </si>
  <si>
    <r>
      <t>E = 2.6(s/12)</t>
    </r>
    <r>
      <rPr>
        <vertAlign val="superscript"/>
        <sz val="8"/>
        <rFont val="Arial"/>
        <family val="2"/>
      </rPr>
      <t>0.8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</t>
    </r>
    <r>
      <rPr>
        <sz val="8"/>
        <rFont val="Arial"/>
        <family val="2"/>
      </rPr>
      <t>/(M/0.2)</t>
    </r>
    <r>
      <rPr>
        <vertAlign val="superscript"/>
        <sz val="8"/>
        <rFont val="Arial"/>
        <family val="2"/>
      </rPr>
      <t xml:space="preserve">0.3  </t>
    </r>
  </si>
  <si>
    <t>APPENDIX B</t>
  </si>
  <si>
    <t>Emission Calculations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</si>
</sst>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mm/dd/yy"/>
    <numFmt numFmtId="171" formatCode="&quot;$&quot;#,##0.0000"/>
    <numFmt numFmtId="172" formatCode="#,##0.0000"/>
    <numFmt numFmtId="173" formatCode="0.0"/>
    <numFmt numFmtId="174" formatCode="0.000000000000"/>
    <numFmt numFmtId="175" formatCode="0.0000000000000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00_)"/>
    <numFmt numFmtId="181" formatCode="0.00_)"/>
    <numFmt numFmtId="182" formatCode="0.000000000"/>
    <numFmt numFmtId="183" formatCode="0.00E+00;\䰀"/>
    <numFmt numFmtId="184" formatCode="0.000E+00"/>
    <numFmt numFmtId="185" formatCode="_(* #,##0.00000_);_(* \(#,##0.00000\);_(* &quot;-&quot;??_);_(@_)"/>
    <numFmt numFmtId="186" formatCode="_(* #,##0.000000_);_(* \(#,##0.000000\);_(* &quot;-&quot;??_);_(@_)"/>
    <numFmt numFmtId="187" formatCode="General_)"/>
    <numFmt numFmtId="188" formatCode="0_)"/>
    <numFmt numFmtId="189" formatCode="0.0_)"/>
    <numFmt numFmtId="190" formatCode="0.0000_)"/>
    <numFmt numFmtId="191" formatCode="0.00000_)"/>
    <numFmt numFmtId="192" formatCode="0.000000_)"/>
    <numFmt numFmtId="193" formatCode="0.0000000_)"/>
    <numFmt numFmtId="194" formatCode="0.00000000_)"/>
    <numFmt numFmtId="195" formatCode="0.0E+00"/>
    <numFmt numFmtId="196" formatCode="#,##0.0_);[Red]\(#,##0.0\)"/>
    <numFmt numFmtId="197" formatCode="_(* #,##0.0000000_);_(* \(#,##0.0000000\);_(* &quot;-&quot;??_);_(@_)"/>
    <numFmt numFmtId="198" formatCode="_(* #,##0.00000000_);_(* \(#,##0.00000000\);_(* &quot;-&quot;??_);_(@_)"/>
    <numFmt numFmtId="199" formatCode="0.0000000000"/>
    <numFmt numFmtId="200" formatCode="0E+00"/>
    <numFmt numFmtId="201" formatCode="0.0000E+00"/>
    <numFmt numFmtId="202" formatCode="0.00000E+00"/>
    <numFmt numFmtId="203" formatCode="0.000000E+00"/>
    <numFmt numFmtId="204" formatCode="0.0000000E+00"/>
    <numFmt numFmtId="205" formatCode="0.00000000E+00"/>
    <numFmt numFmtId="206" formatCode="0.000000000E+00"/>
    <numFmt numFmtId="207" formatCode="0.0000000000E+00"/>
    <numFmt numFmtId="208" formatCode="0.00000000000E+00"/>
    <numFmt numFmtId="209" formatCode="_(* #,##0.00000_);_(* \(#,##0.00000\);_(* &quot;-&quot;?????_);_(@_)"/>
    <numFmt numFmtId="210" formatCode="dd\-mmm\-yy\ hh:mm:ss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_(* #,##0.00000000000_);_(* \(#,##0.00000000000\);_(* &quot;-&quot;???????????_);_(@_)"/>
    <numFmt numFmtId="215" formatCode="_(* #,##0.0000000_);_(* \(#,##0.0000000\);_(* &quot;-&quot;???????_);_(@_)"/>
    <numFmt numFmtId="216" formatCode="0.00000000000"/>
    <numFmt numFmtId="217" formatCode="_(* #,##0.000_);_(* \(#,##0.000\);_(* &quot;-&quot;???_);_(@_)"/>
    <numFmt numFmtId="218" formatCode="m/d"/>
    <numFmt numFmtId="219" formatCode="0.000000E+00;\䌴"/>
    <numFmt numFmtId="220" formatCode="0.000000E+00;\䰀"/>
    <numFmt numFmtId="221" formatCode="0.00000E+00;\䰀"/>
    <numFmt numFmtId="222" formatCode="0.0000E+00;\䰀"/>
    <numFmt numFmtId="223" formatCode="0.000E+00;\䰀"/>
    <numFmt numFmtId="224" formatCode="0.0000E+00;\䎼"/>
    <numFmt numFmtId="225" formatCode="0.0E+00;\䰀"/>
    <numFmt numFmtId="226" formatCode="_(* #,##0.000000_);_(* \(#,##0.000000\);_(* &quot;-&quot;??????_);_(@_)"/>
    <numFmt numFmtId="227" formatCode="#,##0.000"/>
  </numFmts>
  <fonts count="1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MS Sans Serif"/>
      <family val="0"/>
    </font>
    <font>
      <sz val="12"/>
      <name val="Times New Roman"/>
      <family val="0"/>
    </font>
    <font>
      <sz val="10"/>
      <name val="MS Sans Serif"/>
      <family val="0"/>
    </font>
    <font>
      <sz val="10"/>
      <name val="Courier"/>
      <family val="0"/>
    </font>
    <font>
      <sz val="8"/>
      <name val="Helv"/>
      <family val="0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n"/>
      <right style="thin"/>
      <top style="double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188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14" fillId="3" borderId="25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34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14" fillId="0" borderId="29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9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41" xfId="0" applyBorder="1" applyAlignment="1">
      <alignment wrapText="1"/>
    </xf>
    <xf numFmtId="0" fontId="0" fillId="0" borderId="41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46" xfId="0" applyBorder="1" applyAlignment="1">
      <alignment wrapText="1"/>
    </xf>
    <xf numFmtId="2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8" xfId="0" applyBorder="1" applyAlignment="1">
      <alignment/>
    </xf>
    <xf numFmtId="0" fontId="2" fillId="0" borderId="1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6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2" fontId="2" fillId="0" borderId="64" xfId="0" applyNumberFormat="1" applyFont="1" applyBorder="1" applyAlignment="1">
      <alignment horizontal="left"/>
    </xf>
    <xf numFmtId="2" fontId="0" fillId="0" borderId="56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0" borderId="64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68" xfId="0" applyBorder="1" applyAlignment="1">
      <alignment/>
    </xf>
    <xf numFmtId="169" fontId="0" fillId="0" borderId="39" xfId="0" applyNumberFormat="1" applyBorder="1" applyAlignment="1">
      <alignment/>
    </xf>
    <xf numFmtId="169" fontId="0" fillId="0" borderId="69" xfId="0" applyNumberFormat="1" applyBorder="1" applyAlignment="1">
      <alignment/>
    </xf>
    <xf numFmtId="0" fontId="0" fillId="0" borderId="68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69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17" fillId="0" borderId="0" xfId="0" applyFont="1" applyAlignment="1">
      <alignment/>
    </xf>
    <xf numFmtId="0" fontId="17" fillId="0" borderId="70" xfId="0" applyFont="1" applyBorder="1" applyAlignment="1">
      <alignment/>
    </xf>
    <xf numFmtId="0" fontId="0" fillId="0" borderId="70" xfId="0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Emissions Dummy" xfId="19"/>
    <cellStyle name="Normal_LAP93COK" xfId="20"/>
    <cellStyle name="Normal_LAP93CTW" xfId="21"/>
    <cellStyle name="Normal_proposed project_fixed" xfId="22"/>
    <cellStyle name="Normal_SHEET" xfId="23"/>
    <cellStyle name="Normal_Sheet3" xfId="24"/>
    <cellStyle name="Normal_Speciation" xfId="25"/>
    <cellStyle name="Percent" xfId="26"/>
    <cellStyle name="TnkCal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ALCS_ab2588_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rb\1936\POST%20PROJECT%20HRA\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rb\1936\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19"/>
  <sheetViews>
    <sheetView workbookViewId="0" topLeftCell="A1">
      <selection activeCell="A17" sqref="A17:I17"/>
    </sheetView>
  </sheetViews>
  <sheetFormatPr defaultColWidth="9.140625" defaultRowHeight="12.75"/>
  <sheetData>
    <row r="17" spans="1:9" ht="15.75">
      <c r="A17" s="186" t="s">
        <v>194</v>
      </c>
      <c r="B17" s="187"/>
      <c r="C17" s="187"/>
      <c r="D17" s="187"/>
      <c r="E17" s="187"/>
      <c r="F17" s="187"/>
      <c r="G17" s="187"/>
      <c r="H17" s="187"/>
      <c r="I17" s="187"/>
    </row>
    <row r="18" ht="15.75">
      <c r="A18" s="185"/>
    </row>
    <row r="19" ht="15.75">
      <c r="A19" s="185" t="s">
        <v>195</v>
      </c>
    </row>
  </sheetData>
  <printOptions/>
  <pageMargins left="0.75" right="0.75" top="1" bottom="1" header="0.5" footer="0.5"/>
  <pageSetup horizontalDpi="400" verticalDpi="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C1">
      <selection activeCell="J13" sqref="J13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3.5" thickBot="1"/>
    <row r="4" spans="1:13" ht="13.5" thickTop="1">
      <c r="A4" s="41" t="s">
        <v>72</v>
      </c>
      <c r="B4" s="42"/>
      <c r="C4" s="42" t="s">
        <v>73</v>
      </c>
      <c r="D4" s="43"/>
      <c r="E4" s="44" t="s">
        <v>74</v>
      </c>
      <c r="F4" s="44"/>
      <c r="G4" s="45"/>
      <c r="H4" s="46"/>
      <c r="I4" s="47"/>
      <c r="J4" s="44" t="s">
        <v>75</v>
      </c>
      <c r="K4" s="48"/>
      <c r="L4" s="49"/>
      <c r="M4" s="50"/>
    </row>
    <row r="5" spans="1:13" ht="13.5" thickBot="1">
      <c r="A5" s="51" t="s">
        <v>40</v>
      </c>
      <c r="B5" s="52" t="s">
        <v>76</v>
      </c>
      <c r="C5" s="53" t="s">
        <v>77</v>
      </c>
      <c r="D5" s="54" t="s">
        <v>55</v>
      </c>
      <c r="E5" s="54" t="s">
        <v>56</v>
      </c>
      <c r="F5" s="54" t="s">
        <v>57</v>
      </c>
      <c r="G5" s="54" t="s">
        <v>58</v>
      </c>
      <c r="H5" s="55" t="s">
        <v>59</v>
      </c>
      <c r="I5" s="56" t="s">
        <v>55</v>
      </c>
      <c r="J5" s="54" t="s">
        <v>56</v>
      </c>
      <c r="K5" s="54" t="s">
        <v>57</v>
      </c>
      <c r="L5" s="54" t="s">
        <v>58</v>
      </c>
      <c r="M5" s="57" t="s">
        <v>59</v>
      </c>
    </row>
    <row r="6" spans="1:13" ht="13.5" thickTop="1">
      <c r="A6" s="58" t="s">
        <v>78</v>
      </c>
      <c r="B6" s="8">
        <v>1</v>
      </c>
      <c r="C6" s="9">
        <v>2</v>
      </c>
      <c r="D6" s="11">
        <f>0.015*119*0.465</f>
        <v>0.830025</v>
      </c>
      <c r="E6" s="11">
        <f>0.003*119*0.465</f>
        <v>0.166005</v>
      </c>
      <c r="F6" s="11">
        <f>0.022*119*0.465</f>
        <v>1.21737</v>
      </c>
      <c r="G6" s="11">
        <f>0.002*119*0.465</f>
        <v>0.11067000000000002</v>
      </c>
      <c r="H6" s="11">
        <f>0.001*119*0.465</f>
        <v>0.05533500000000001</v>
      </c>
      <c r="I6" s="59">
        <f aca="true" t="shared" si="0" ref="I6:I12">B6*C6*D6</f>
        <v>1.66005</v>
      </c>
      <c r="J6" s="11">
        <f aca="true" t="shared" si="1" ref="J6:J12">B6*C6*E6</f>
        <v>0.33201</v>
      </c>
      <c r="K6" s="11">
        <f aca="true" t="shared" si="2" ref="K6:K12">B6*C6*F6</f>
        <v>2.43474</v>
      </c>
      <c r="L6" s="11">
        <f aca="true" t="shared" si="3" ref="L6:L12">B6*C6*G6</f>
        <v>0.22134000000000004</v>
      </c>
      <c r="M6" s="60">
        <f aca="true" t="shared" si="4" ref="M6:M12">B6*C6*H6</f>
        <v>0.11067000000000002</v>
      </c>
    </row>
    <row r="7" spans="1:13" ht="12.75">
      <c r="A7" s="61" t="s">
        <v>79</v>
      </c>
      <c r="B7" s="3">
        <v>2</v>
      </c>
      <c r="C7" s="9">
        <v>5</v>
      </c>
      <c r="D7" s="6">
        <f>0.009*194*0.43</f>
        <v>0.7507799999999999</v>
      </c>
      <c r="E7" s="6">
        <f>0.003*194*0.43</f>
        <v>0.25026</v>
      </c>
      <c r="F7" s="6">
        <f>0.023*194*0.43</f>
        <v>1.9186599999999998</v>
      </c>
      <c r="G7" s="6">
        <f>0.002*194*0.43</f>
        <v>0.16684000000000002</v>
      </c>
      <c r="H7" s="62">
        <f>0.0015*194*0.43</f>
        <v>0.12513</v>
      </c>
      <c r="I7" s="59">
        <f t="shared" si="0"/>
        <v>7.507799999999999</v>
      </c>
      <c r="J7" s="11">
        <f t="shared" si="1"/>
        <v>2.5025999999999997</v>
      </c>
      <c r="K7" s="11">
        <f t="shared" si="2"/>
        <v>19.1866</v>
      </c>
      <c r="L7" s="11">
        <f t="shared" si="3"/>
        <v>1.6684</v>
      </c>
      <c r="M7" s="60">
        <f t="shared" si="4"/>
        <v>1.2512999999999999</v>
      </c>
    </row>
    <row r="8" spans="1:13" ht="12.75">
      <c r="A8" s="61" t="s">
        <v>80</v>
      </c>
      <c r="B8" s="3">
        <v>1</v>
      </c>
      <c r="C8" s="9">
        <v>2</v>
      </c>
      <c r="D8" s="6">
        <v>1.8</v>
      </c>
      <c r="E8" s="6">
        <v>0.19</v>
      </c>
      <c r="F8" s="6">
        <v>4.17</v>
      </c>
      <c r="G8" s="6">
        <v>0.45</v>
      </c>
      <c r="H8" s="62">
        <v>0.26</v>
      </c>
      <c r="I8" s="59">
        <f t="shared" si="0"/>
        <v>3.6</v>
      </c>
      <c r="J8" s="11">
        <f t="shared" si="1"/>
        <v>0.38</v>
      </c>
      <c r="K8" s="11">
        <f t="shared" si="2"/>
        <v>8.34</v>
      </c>
      <c r="L8" s="11">
        <f t="shared" si="3"/>
        <v>0.9</v>
      </c>
      <c r="M8" s="60">
        <f t="shared" si="4"/>
        <v>0.52</v>
      </c>
    </row>
    <row r="9" spans="1:13" ht="12.75">
      <c r="A9" s="61" t="s">
        <v>81</v>
      </c>
      <c r="B9" s="3">
        <v>1</v>
      </c>
      <c r="C9" s="9">
        <v>6</v>
      </c>
      <c r="D9" s="6">
        <v>1.8</v>
      </c>
      <c r="E9" s="6">
        <v>0.19</v>
      </c>
      <c r="F9" s="6">
        <v>4.17</v>
      </c>
      <c r="G9" s="6">
        <v>0.45</v>
      </c>
      <c r="H9" s="62">
        <v>0.26</v>
      </c>
      <c r="I9" s="59">
        <f t="shared" si="0"/>
        <v>10.8</v>
      </c>
      <c r="J9" s="11">
        <f t="shared" si="1"/>
        <v>1.1400000000000001</v>
      </c>
      <c r="K9" s="11">
        <f t="shared" si="2"/>
        <v>25.02</v>
      </c>
      <c r="L9" s="11">
        <f t="shared" si="3"/>
        <v>2.7</v>
      </c>
      <c r="M9" s="60">
        <f t="shared" si="4"/>
        <v>1.56</v>
      </c>
    </row>
    <row r="10" spans="1:13" ht="12.75">
      <c r="A10" s="61" t="s">
        <v>82</v>
      </c>
      <c r="B10" s="3">
        <v>1</v>
      </c>
      <c r="C10" s="9">
        <v>5</v>
      </c>
      <c r="D10" s="6">
        <v>0.52</v>
      </c>
      <c r="E10" s="6">
        <v>0.17</v>
      </c>
      <c r="F10" s="6">
        <v>1.54</v>
      </c>
      <c r="G10" s="6">
        <v>0.143</v>
      </c>
      <c r="H10" s="62">
        <v>0.093</v>
      </c>
      <c r="I10" s="59">
        <f t="shared" si="0"/>
        <v>2.6</v>
      </c>
      <c r="J10" s="11">
        <f t="shared" si="1"/>
        <v>0.8500000000000001</v>
      </c>
      <c r="K10" s="11">
        <f t="shared" si="2"/>
        <v>7.7</v>
      </c>
      <c r="L10" s="11">
        <f t="shared" si="3"/>
        <v>0.715</v>
      </c>
      <c r="M10" s="60">
        <f t="shared" si="4"/>
        <v>0.46499999999999997</v>
      </c>
    </row>
    <row r="11" spans="1:13" ht="12.75">
      <c r="A11" s="61" t="s">
        <v>83</v>
      </c>
      <c r="B11" s="3">
        <v>4</v>
      </c>
      <c r="C11" s="9">
        <v>3</v>
      </c>
      <c r="D11" s="6">
        <f>0.011*35*0.45</f>
        <v>0.17325</v>
      </c>
      <c r="E11" s="6">
        <f>0.002*35*0.45</f>
        <v>0.03150000000000001</v>
      </c>
      <c r="F11" s="6">
        <f>0.018*35*0.45</f>
        <v>0.28350000000000003</v>
      </c>
      <c r="G11" s="6">
        <f>0.002*35*0.45</f>
        <v>0.03150000000000001</v>
      </c>
      <c r="H11" s="6">
        <f>0.001*35*0.45</f>
        <v>0.015750000000000004</v>
      </c>
      <c r="I11" s="59">
        <f t="shared" si="0"/>
        <v>2.0789999999999997</v>
      </c>
      <c r="J11" s="11">
        <f t="shared" si="1"/>
        <v>0.3780000000000001</v>
      </c>
      <c r="K11" s="11">
        <f t="shared" si="2"/>
        <v>3.402</v>
      </c>
      <c r="L11" s="11">
        <f t="shared" si="3"/>
        <v>0.3780000000000001</v>
      </c>
      <c r="M11" s="60">
        <f t="shared" si="4"/>
        <v>0.18900000000000006</v>
      </c>
    </row>
    <row r="12" spans="1:13" ht="12.75">
      <c r="A12" s="61" t="s">
        <v>84</v>
      </c>
      <c r="B12" s="3">
        <v>1</v>
      </c>
      <c r="C12" s="9">
        <v>8</v>
      </c>
      <c r="D12" s="6">
        <v>0.3</v>
      </c>
      <c r="E12" s="6">
        <v>0.065</v>
      </c>
      <c r="F12" s="6">
        <v>0.87</v>
      </c>
      <c r="G12" s="6">
        <v>0.067</v>
      </c>
      <c r="H12" s="62">
        <v>0.05</v>
      </c>
      <c r="I12" s="59">
        <f t="shared" si="0"/>
        <v>2.4</v>
      </c>
      <c r="J12" s="11">
        <f t="shared" si="1"/>
        <v>0.52</v>
      </c>
      <c r="K12" s="11">
        <f t="shared" si="2"/>
        <v>6.96</v>
      </c>
      <c r="L12" s="11">
        <f t="shared" si="3"/>
        <v>0.536</v>
      </c>
      <c r="M12" s="60">
        <f t="shared" si="4"/>
        <v>0.4</v>
      </c>
    </row>
    <row r="13" spans="1:13" ht="13.5" thickBot="1">
      <c r="A13" s="63"/>
      <c r="B13" s="64"/>
      <c r="C13" s="65"/>
      <c r="D13" s="66"/>
      <c r="E13" s="66"/>
      <c r="F13" s="66"/>
      <c r="G13" s="66"/>
      <c r="H13" s="66"/>
      <c r="I13" s="67"/>
      <c r="J13" s="66"/>
      <c r="K13" s="66"/>
      <c r="L13" s="66"/>
      <c r="M13" s="68"/>
    </row>
    <row r="14" spans="1:13" ht="14.25" thickBot="1" thickTop="1">
      <c r="A14" s="69" t="s">
        <v>85</v>
      </c>
      <c r="B14" s="70"/>
      <c r="C14" s="71"/>
      <c r="D14" s="72"/>
      <c r="E14" s="73"/>
      <c r="F14" s="73"/>
      <c r="G14" s="73"/>
      <c r="H14" s="73"/>
      <c r="I14" s="73">
        <f>SUM(I6:I12)</f>
        <v>30.64685</v>
      </c>
      <c r="J14" s="73">
        <f>SUM(J6:J12)</f>
        <v>6.1026099999999985</v>
      </c>
      <c r="K14" s="73">
        <f>SUM(K6:K12)</f>
        <v>73.04334</v>
      </c>
      <c r="L14" s="73">
        <f>SUM(L6:L12)</f>
        <v>7.118740000000001</v>
      </c>
      <c r="M14" s="74">
        <f>SUM(M6:M12)</f>
        <v>4.49597</v>
      </c>
    </row>
    <row r="15" spans="1:13" ht="14.25" thickBot="1" thickTop="1">
      <c r="A15" s="75" t="s">
        <v>40</v>
      </c>
      <c r="B15" s="76"/>
      <c r="C15" s="77"/>
      <c r="D15" s="77"/>
      <c r="E15" s="78"/>
      <c r="F15" s="78"/>
      <c r="G15" s="78"/>
      <c r="H15" s="78"/>
      <c r="I15" s="78" t="s">
        <v>40</v>
      </c>
      <c r="J15" s="78" t="s">
        <v>40</v>
      </c>
      <c r="K15" s="78" t="s">
        <v>40</v>
      </c>
      <c r="L15" s="78" t="s">
        <v>40</v>
      </c>
      <c r="M15" s="79" t="s">
        <v>40</v>
      </c>
    </row>
    <row r="16" ht="13.5" thickTop="1"/>
    <row r="17" ht="12.75">
      <c r="A17" s="39" t="s">
        <v>86</v>
      </c>
    </row>
    <row r="18" spans="1:4" ht="12.75">
      <c r="A18" s="39" t="s">
        <v>87</v>
      </c>
      <c r="D18" s="39" t="s">
        <v>189</v>
      </c>
    </row>
    <row r="19" ht="12.75">
      <c r="A19" s="39" t="s">
        <v>190</v>
      </c>
    </row>
    <row r="20" spans="1:5" ht="12.75">
      <c r="A20" s="39" t="s">
        <v>191</v>
      </c>
      <c r="B20" s="39"/>
      <c r="C20" s="39"/>
      <c r="D20" s="39"/>
      <c r="E20" s="80"/>
    </row>
    <row r="22" ht="12.75">
      <c r="M22" s="81">
        <f ca="1">TODAY()</f>
        <v>37245</v>
      </c>
    </row>
    <row r="23" ht="12.75">
      <c r="A23" s="39" t="s">
        <v>88</v>
      </c>
    </row>
  </sheetData>
  <mergeCells count="1">
    <mergeCell ref="A2:M2"/>
  </mergeCells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&amp;C&amp;"Arial,Bold"&amp;12Construction Equipment Emissions for the Proposed Modifications to the Tosco CARB Phase 3 Project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workbookViewId="0" topLeftCell="A30">
      <selection activeCell="J13" sqref="J13"/>
    </sheetView>
  </sheetViews>
  <sheetFormatPr defaultColWidth="9.140625" defaultRowHeight="12.75"/>
  <cols>
    <col min="1" max="1" width="9.8515625" style="2" customWidth="1"/>
    <col min="2" max="2" width="9.00390625" style="0" customWidth="1"/>
    <col min="3" max="3" width="10.140625" style="0" customWidth="1"/>
    <col min="4" max="4" width="10.00390625" style="0" customWidth="1"/>
    <col min="5" max="5" width="9.8515625" style="0" customWidth="1"/>
    <col min="6" max="6" width="8.421875" style="0" customWidth="1"/>
    <col min="7" max="7" width="10.8515625" style="0" customWidth="1"/>
    <col min="8" max="8" width="8.8515625" style="0" customWidth="1"/>
    <col min="9" max="9" width="9.57421875" style="0" customWidth="1"/>
    <col min="10" max="11" width="8.421875" style="0" customWidth="1"/>
    <col min="12" max="12" width="10.5742187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8.00390625" style="0" customWidth="1"/>
    <col min="17" max="17" width="10.140625" style="0" customWidth="1"/>
    <col min="18" max="18" width="8.8515625" style="0" customWidth="1"/>
    <col min="19" max="19" width="9.421875" style="0" customWidth="1"/>
    <col min="20" max="20" width="8.421875" style="0" customWidth="1"/>
  </cols>
  <sheetData>
    <row r="2" ht="12.75">
      <c r="A2" s="2" t="s">
        <v>126</v>
      </c>
    </row>
    <row r="3" ht="12.75">
      <c r="A3" s="2" t="s">
        <v>127</v>
      </c>
    </row>
    <row r="4" spans="1:20" ht="13.5" thickBot="1">
      <c r="A4" s="2" t="s">
        <v>128</v>
      </c>
      <c r="T4" s="81">
        <v>37034</v>
      </c>
    </row>
    <row r="5" spans="1:5" ht="13.5" thickBot="1">
      <c r="A5" s="136"/>
      <c r="B5" s="137" t="s">
        <v>129</v>
      </c>
      <c r="C5" s="138" t="s">
        <v>130</v>
      </c>
      <c r="D5" s="138" t="s">
        <v>131</v>
      </c>
      <c r="E5" s="139" t="s">
        <v>132</v>
      </c>
    </row>
    <row r="6" spans="1:5" ht="12.75">
      <c r="A6" s="140" t="s">
        <v>133</v>
      </c>
      <c r="B6" s="141">
        <v>14616335</v>
      </c>
      <c r="C6" s="8">
        <v>2223108</v>
      </c>
      <c r="D6" s="8">
        <v>4003223</v>
      </c>
      <c r="E6" s="142">
        <v>160165</v>
      </c>
    </row>
    <row r="7" spans="1:5" ht="12.75">
      <c r="A7" s="143" t="s">
        <v>134</v>
      </c>
      <c r="B7" s="144">
        <v>473835</v>
      </c>
      <c r="C7" s="3">
        <v>67563</v>
      </c>
      <c r="D7" s="3">
        <v>140267</v>
      </c>
      <c r="E7" s="145">
        <v>20258</v>
      </c>
    </row>
    <row r="8" spans="1:5" ht="13.5" thickBot="1">
      <c r="A8" s="146" t="s">
        <v>135</v>
      </c>
      <c r="B8" s="147">
        <v>91171160</v>
      </c>
      <c r="C8" s="148">
        <v>13500887</v>
      </c>
      <c r="D8" s="148">
        <v>25489776</v>
      </c>
      <c r="E8" s="149">
        <v>2036153</v>
      </c>
    </row>
    <row r="9" ht="13.5" thickBot="1"/>
    <row r="10" spans="1:20" s="2" customFormat="1" ht="12.75">
      <c r="A10" s="150"/>
      <c r="B10" s="151" t="s">
        <v>129</v>
      </c>
      <c r="C10" s="151" t="s">
        <v>130</v>
      </c>
      <c r="D10" s="151" t="s">
        <v>131</v>
      </c>
      <c r="E10" s="151" t="s">
        <v>132</v>
      </c>
      <c r="F10" s="152" t="s">
        <v>136</v>
      </c>
      <c r="G10" s="152"/>
      <c r="H10" s="152"/>
      <c r="I10" s="152"/>
      <c r="J10" s="152"/>
      <c r="K10" s="152" t="s">
        <v>137</v>
      </c>
      <c r="L10" s="152"/>
      <c r="M10" s="152"/>
      <c r="N10" s="152"/>
      <c r="O10" s="152"/>
      <c r="P10" s="152" t="s">
        <v>138</v>
      </c>
      <c r="Q10" s="152"/>
      <c r="R10" s="152"/>
      <c r="S10" s="152"/>
      <c r="T10" s="153"/>
    </row>
    <row r="11" spans="1:20" s="2" customFormat="1" ht="55.5" customHeight="1">
      <c r="A11" s="154"/>
      <c r="B11" s="155" t="s">
        <v>139</v>
      </c>
      <c r="C11" s="155"/>
      <c r="D11" s="155"/>
      <c r="E11" s="155"/>
      <c r="F11" s="156" t="s">
        <v>140</v>
      </c>
      <c r="G11" s="156" t="s">
        <v>141</v>
      </c>
      <c r="H11" s="156" t="s">
        <v>142</v>
      </c>
      <c r="I11" s="156" t="s">
        <v>143</v>
      </c>
      <c r="J11" s="156" t="s">
        <v>144</v>
      </c>
      <c r="K11" s="156" t="s">
        <v>140</v>
      </c>
      <c r="L11" s="156" t="s">
        <v>141</v>
      </c>
      <c r="M11" s="156" t="s">
        <v>142</v>
      </c>
      <c r="N11" s="156" t="s">
        <v>143</v>
      </c>
      <c r="O11" s="156" t="s">
        <v>144</v>
      </c>
      <c r="P11" s="156" t="s">
        <v>140</v>
      </c>
      <c r="Q11" s="156" t="s">
        <v>141</v>
      </c>
      <c r="R11" s="156" t="s">
        <v>142</v>
      </c>
      <c r="S11" s="156" t="s">
        <v>143</v>
      </c>
      <c r="T11" s="157" t="s">
        <v>144</v>
      </c>
    </row>
    <row r="12" spans="1:20" ht="12.75">
      <c r="A12" s="158" t="s">
        <v>145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9"/>
    </row>
    <row r="13" spans="1:20" ht="12.75">
      <c r="A13" s="160" t="s">
        <v>146</v>
      </c>
      <c r="B13" s="7">
        <v>283.28</v>
      </c>
      <c r="C13" s="7">
        <v>70.8</v>
      </c>
      <c r="D13" s="7">
        <v>59.22</v>
      </c>
      <c r="E13" s="7">
        <v>29.17</v>
      </c>
      <c r="F13" s="7">
        <f>$B13*2000*453.6/($B$7*1000)</f>
        <v>0.5423652030770205</v>
      </c>
      <c r="G13" s="7"/>
      <c r="H13" s="7"/>
      <c r="I13" s="7"/>
      <c r="J13" s="7"/>
      <c r="K13" s="7">
        <f>($C13+$D13)*2000*453.6/(($C$7+$D$7)*1000)</f>
        <v>0.5675510946446615</v>
      </c>
      <c r="L13" s="7"/>
      <c r="M13" s="7"/>
      <c r="N13" s="7"/>
      <c r="O13" s="7"/>
      <c r="P13" s="7">
        <f>$E13*2000*453.6/($E$7*1000)</f>
        <v>1.3062999308914998</v>
      </c>
      <c r="Q13" s="7"/>
      <c r="R13" s="7"/>
      <c r="S13" s="7"/>
      <c r="T13" s="161"/>
    </row>
    <row r="14" spans="1:20" ht="12.75">
      <c r="A14" s="160" t="s">
        <v>147</v>
      </c>
      <c r="B14" s="7">
        <v>0</v>
      </c>
      <c r="C14" s="7">
        <v>0</v>
      </c>
      <c r="D14" s="7">
        <v>0</v>
      </c>
      <c r="E14" s="7">
        <v>1.98</v>
      </c>
      <c r="F14" s="7">
        <f>$B14*2000*453.6/($B$7*1000)</f>
        <v>0</v>
      </c>
      <c r="G14" s="7"/>
      <c r="H14" s="7"/>
      <c r="I14" s="7"/>
      <c r="J14" s="7"/>
      <c r="K14" s="7"/>
      <c r="L14" s="7"/>
      <c r="M14" s="7"/>
      <c r="N14" s="7"/>
      <c r="O14" s="7"/>
      <c r="P14" s="7">
        <f>$E14*2000*453.6/($E$7*1000)</f>
        <v>0.08866897028334485</v>
      </c>
      <c r="Q14" s="7"/>
      <c r="R14" s="7"/>
      <c r="S14" s="7"/>
      <c r="T14" s="161"/>
    </row>
    <row r="15" spans="1:20" ht="12.75">
      <c r="A15" s="160" t="s">
        <v>148</v>
      </c>
      <c r="B15" s="7">
        <v>118.99</v>
      </c>
      <c r="C15" s="7">
        <v>22.59</v>
      </c>
      <c r="D15" s="7">
        <v>31.1</v>
      </c>
      <c r="E15" s="7">
        <v>5.72</v>
      </c>
      <c r="F15" s="7"/>
      <c r="G15" s="7">
        <f>B15*2000*453.6/$B$8</f>
        <v>1.1840117861832624</v>
      </c>
      <c r="H15" s="7"/>
      <c r="I15" s="7"/>
      <c r="J15" s="7"/>
      <c r="K15" s="7"/>
      <c r="L15" s="7">
        <f>(C15+D15)*2000*453.6/($C$8+$D$8)</f>
        <v>1.2492110739435234</v>
      </c>
      <c r="M15" s="7"/>
      <c r="N15" s="7"/>
      <c r="O15" s="7"/>
      <c r="P15" s="7"/>
      <c r="Q15" s="7">
        <f>E15*2000*453.6/$E$8</f>
        <v>2.5485236129112105</v>
      </c>
      <c r="R15" s="7"/>
      <c r="S15" s="7"/>
      <c r="T15" s="161"/>
    </row>
    <row r="16" spans="1:20" s="2" customFormat="1" ht="12.75">
      <c r="A16" s="160" t="s">
        <v>149</v>
      </c>
      <c r="B16" s="162">
        <v>402.27</v>
      </c>
      <c r="C16" s="162">
        <v>93.4</v>
      </c>
      <c r="D16" s="162">
        <v>90.32</v>
      </c>
      <c r="E16" s="162">
        <v>36.87</v>
      </c>
      <c r="F16" s="162">
        <f aca="true" t="shared" si="0" ref="F16:T16">SUM(F13:F15)</f>
        <v>0.5423652030770205</v>
      </c>
      <c r="G16" s="162">
        <f t="shared" si="0"/>
        <v>1.1840117861832624</v>
      </c>
      <c r="H16" s="162">
        <f t="shared" si="0"/>
        <v>0</v>
      </c>
      <c r="I16" s="162">
        <f t="shared" si="0"/>
        <v>0</v>
      </c>
      <c r="J16" s="162">
        <f t="shared" si="0"/>
        <v>0</v>
      </c>
      <c r="K16" s="162">
        <f t="shared" si="0"/>
        <v>0.5675510946446615</v>
      </c>
      <c r="L16" s="162">
        <f t="shared" si="0"/>
        <v>1.2492110739435234</v>
      </c>
      <c r="M16" s="162">
        <f t="shared" si="0"/>
        <v>0</v>
      </c>
      <c r="N16" s="162">
        <f t="shared" si="0"/>
        <v>0</v>
      </c>
      <c r="O16" s="162">
        <f t="shared" si="0"/>
        <v>0</v>
      </c>
      <c r="P16" s="162">
        <f t="shared" si="0"/>
        <v>1.3949689011748445</v>
      </c>
      <c r="Q16" s="162">
        <f t="shared" si="0"/>
        <v>2.5485236129112105</v>
      </c>
      <c r="R16" s="162">
        <f t="shared" si="0"/>
        <v>0</v>
      </c>
      <c r="S16" s="162">
        <f t="shared" si="0"/>
        <v>0</v>
      </c>
      <c r="T16" s="163">
        <f t="shared" si="0"/>
        <v>0</v>
      </c>
    </row>
    <row r="17" spans="1:20" ht="12.75">
      <c r="A17" s="16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61"/>
    </row>
    <row r="18" spans="1:20" ht="12.75">
      <c r="A18" s="160" t="s">
        <v>150</v>
      </c>
      <c r="B18" s="7">
        <v>53.53</v>
      </c>
      <c r="C18" s="7">
        <v>11.69</v>
      </c>
      <c r="D18" s="7">
        <v>9.69</v>
      </c>
      <c r="E18" s="7">
        <v>0.01</v>
      </c>
      <c r="F18" s="7"/>
      <c r="G18" s="7"/>
      <c r="H18" s="7"/>
      <c r="I18" s="7">
        <f>B18*2000*453.6/24/B6</f>
        <v>0.13843648219611826</v>
      </c>
      <c r="J18" s="7"/>
      <c r="K18" s="7"/>
      <c r="L18" s="7"/>
      <c r="M18" s="7"/>
      <c r="N18" s="7">
        <f>(C18+D18)*2000*453.6/24/(C6+D6)</f>
        <v>0.1297977894204468</v>
      </c>
      <c r="O18" s="7"/>
      <c r="P18" s="7"/>
      <c r="Q18" s="7"/>
      <c r="R18" s="7"/>
      <c r="S18" s="7">
        <f>E18*2000*453.6/24/E6</f>
        <v>0.0023600661817500704</v>
      </c>
      <c r="T18" s="161"/>
    </row>
    <row r="19" spans="1:20" ht="12.75">
      <c r="A19" s="160" t="s">
        <v>151</v>
      </c>
      <c r="B19" s="7">
        <v>36.89</v>
      </c>
      <c r="C19" s="7">
        <v>9.18</v>
      </c>
      <c r="D19" s="7">
        <v>6.51</v>
      </c>
      <c r="E19" s="7">
        <v>0.2</v>
      </c>
      <c r="F19" s="7"/>
      <c r="G19" s="7"/>
      <c r="H19" s="7">
        <f>B19/$B$8*2000*453.6</f>
        <v>0.3670745003134763</v>
      </c>
      <c r="I19" s="7"/>
      <c r="J19" s="7"/>
      <c r="K19" s="7"/>
      <c r="L19" s="7"/>
      <c r="M19" s="7">
        <f>(C19+D19)/($C$8+$D$8)*2000*453.6</f>
        <v>0.36506093779426113</v>
      </c>
      <c r="N19" s="7"/>
      <c r="O19" s="7"/>
      <c r="P19" s="7"/>
      <c r="Q19" s="7"/>
      <c r="R19" s="7">
        <f>E19/$E$8*2000*453.6</f>
        <v>0.08910921723465771</v>
      </c>
      <c r="S19" s="7"/>
      <c r="T19" s="161"/>
    </row>
    <row r="20" spans="1:20" ht="12.75">
      <c r="A20" s="160" t="s">
        <v>152</v>
      </c>
      <c r="B20" s="7">
        <v>203.58</v>
      </c>
      <c r="C20" s="7">
        <v>40.86</v>
      </c>
      <c r="D20" s="7">
        <v>36.04</v>
      </c>
      <c r="E20" s="7">
        <v>2.45</v>
      </c>
      <c r="F20" s="7"/>
      <c r="G20" s="7"/>
      <c r="H20" s="7"/>
      <c r="I20" s="7"/>
      <c r="J20" s="7">
        <f>B20/(B7*1000)*2000*453.6</f>
        <v>0.389772338472253</v>
      </c>
      <c r="K20" s="7"/>
      <c r="L20" s="7"/>
      <c r="M20" s="7"/>
      <c r="N20" s="7"/>
      <c r="O20" s="7">
        <f>(C20+D20)/(($C$7+$D$7)*1000)*2000*453.6</f>
        <v>0.3356766588076794</v>
      </c>
      <c r="P20" s="7"/>
      <c r="Q20" s="7"/>
      <c r="R20" s="7"/>
      <c r="S20" s="7"/>
      <c r="T20" s="161">
        <f>E20/(E7*1000)*2000*453.6</f>
        <v>0.10971665514858328</v>
      </c>
    </row>
    <row r="21" spans="1:20" ht="12.75">
      <c r="A21" s="160" t="s">
        <v>153</v>
      </c>
      <c r="B21" s="7">
        <v>12.03</v>
      </c>
      <c r="C21" s="7">
        <v>2.85</v>
      </c>
      <c r="D21" s="7">
        <v>2.12</v>
      </c>
      <c r="E21" s="7">
        <v>0</v>
      </c>
      <c r="F21" s="7"/>
      <c r="G21" s="7"/>
      <c r="H21" s="7"/>
      <c r="I21" s="7">
        <f>B21*2000*453.6/24/B6</f>
        <v>0.031111355890515644</v>
      </c>
      <c r="J21" s="7"/>
      <c r="K21" s="7"/>
      <c r="L21" s="7"/>
      <c r="M21" s="7"/>
      <c r="N21" s="7">
        <f>(C21+D21)*2000*453.6/24/(C6+D6)</f>
        <v>0.030172825697830717</v>
      </c>
      <c r="O21" s="7"/>
      <c r="P21" s="7"/>
      <c r="Q21" s="7"/>
      <c r="R21" s="7"/>
      <c r="S21" s="7">
        <f>E21*2000*453.6/24/E6</f>
        <v>0</v>
      </c>
      <c r="T21" s="161"/>
    </row>
    <row r="22" spans="1:20" s="2" customFormat="1" ht="12.75">
      <c r="A22" s="160" t="s">
        <v>154</v>
      </c>
      <c r="B22" s="162">
        <v>708.3</v>
      </c>
      <c r="C22" s="162">
        <v>157.98</v>
      </c>
      <c r="D22" s="162">
        <v>144.67</v>
      </c>
      <c r="E22" s="162">
        <v>39.54</v>
      </c>
      <c r="F22" s="162">
        <f aca="true" t="shared" si="1" ref="F22:T22">SUM(F16:F21)</f>
        <v>0.5423652030770205</v>
      </c>
      <c r="G22" s="162">
        <f t="shared" si="1"/>
        <v>1.1840117861832624</v>
      </c>
      <c r="H22" s="162">
        <f t="shared" si="1"/>
        <v>0.3670745003134763</v>
      </c>
      <c r="I22" s="162">
        <f t="shared" si="1"/>
        <v>0.1695478380866339</v>
      </c>
      <c r="J22" s="162">
        <f t="shared" si="1"/>
        <v>0.389772338472253</v>
      </c>
      <c r="K22" s="162">
        <f t="shared" si="1"/>
        <v>0.5675510946446615</v>
      </c>
      <c r="L22" s="162">
        <f t="shared" si="1"/>
        <v>1.2492110739435234</v>
      </c>
      <c r="M22" s="162">
        <f t="shared" si="1"/>
        <v>0.36506093779426113</v>
      </c>
      <c r="N22" s="162">
        <f t="shared" si="1"/>
        <v>0.15997061511827754</v>
      </c>
      <c r="O22" s="162">
        <f t="shared" si="1"/>
        <v>0.3356766588076794</v>
      </c>
      <c r="P22" s="162">
        <f t="shared" si="1"/>
        <v>1.3949689011748445</v>
      </c>
      <c r="Q22" s="162">
        <f t="shared" si="1"/>
        <v>2.5485236129112105</v>
      </c>
      <c r="R22" s="162">
        <f t="shared" si="1"/>
        <v>0.08910921723465771</v>
      </c>
      <c r="S22" s="162">
        <f t="shared" si="1"/>
        <v>0.0023600661817500704</v>
      </c>
      <c r="T22" s="162">
        <f t="shared" si="1"/>
        <v>0.10971665514858328</v>
      </c>
    </row>
    <row r="23" spans="1:20" s="2" customFormat="1" ht="12.75">
      <c r="A23" s="165" t="s">
        <v>155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/>
    </row>
    <row r="24" spans="1:20" ht="12.75">
      <c r="A24" s="160" t="s">
        <v>146</v>
      </c>
      <c r="B24" s="7">
        <v>4696.28</v>
      </c>
      <c r="C24" s="7">
        <v>1344.96</v>
      </c>
      <c r="D24" s="7">
        <v>1240.3</v>
      </c>
      <c r="E24" s="7">
        <v>233.47</v>
      </c>
      <c r="F24" s="7">
        <f>$B24*2000*453.6/($B$7*1000)</f>
        <v>8.991453176738737</v>
      </c>
      <c r="G24" s="7"/>
      <c r="H24" s="7"/>
      <c r="I24" s="7"/>
      <c r="J24" s="7"/>
      <c r="K24" s="7">
        <f>($C24+$D24)*2000*453.6/(($C$7+$D$7)*1000)</f>
        <v>11.284934186594812</v>
      </c>
      <c r="L24" s="7"/>
      <c r="M24" s="7"/>
      <c r="N24" s="7"/>
      <c r="O24" s="7"/>
      <c r="P24" s="7">
        <f>$E24*2000*453.6/($E$7*1000)</f>
        <v>10.455325501036628</v>
      </c>
      <c r="Q24" s="7"/>
      <c r="R24" s="7"/>
      <c r="S24" s="7"/>
      <c r="T24" s="161"/>
    </row>
    <row r="25" spans="1:20" ht="12.75">
      <c r="A25" s="160" t="s">
        <v>147</v>
      </c>
      <c r="B25" s="7">
        <v>0</v>
      </c>
      <c r="C25" s="7">
        <v>0</v>
      </c>
      <c r="D25" s="7">
        <v>0</v>
      </c>
      <c r="E25" s="7">
        <v>8.81</v>
      </c>
      <c r="F25" s="7">
        <f>$B25*2000*453.6/($B$7*1000)</f>
        <v>0</v>
      </c>
      <c r="G25" s="7"/>
      <c r="H25" s="7"/>
      <c r="I25" s="7"/>
      <c r="J25" s="7"/>
      <c r="K25" s="7"/>
      <c r="L25" s="7"/>
      <c r="M25" s="7"/>
      <c r="N25" s="7"/>
      <c r="O25" s="7"/>
      <c r="P25" s="7">
        <f>$E25*2000*453.6/($E$7*1000)</f>
        <v>0.3945321354526607</v>
      </c>
      <c r="Q25" s="7"/>
      <c r="R25" s="7"/>
      <c r="S25" s="7"/>
      <c r="T25" s="161"/>
    </row>
    <row r="26" spans="1:20" ht="12.75">
      <c r="A26" s="160" t="s">
        <v>148</v>
      </c>
      <c r="B26" s="7">
        <v>1181.44</v>
      </c>
      <c r="C26" s="7">
        <v>274.28</v>
      </c>
      <c r="D26" s="7">
        <v>325.14</v>
      </c>
      <c r="E26" s="7">
        <v>109.41</v>
      </c>
      <c r="F26" s="7"/>
      <c r="G26" s="7">
        <f>B26*2000*453.6/$B$8</f>
        <v>11.755936504482339</v>
      </c>
      <c r="H26" s="7"/>
      <c r="I26" s="7"/>
      <c r="J26" s="7"/>
      <c r="K26" s="7"/>
      <c r="L26" s="7">
        <f>(C26+D26)*2000*453.6/($C$8+$D$8)</f>
        <v>13.94677038448923</v>
      </c>
      <c r="M26" s="7"/>
      <c r="N26" s="7"/>
      <c r="O26" s="7"/>
      <c r="P26" s="7"/>
      <c r="Q26" s="7">
        <f>E26*2000*453.6/$E$8</f>
        <v>48.7471972882195</v>
      </c>
      <c r="R26" s="7"/>
      <c r="S26" s="7"/>
      <c r="T26" s="161"/>
    </row>
    <row r="27" spans="1:20" s="2" customFormat="1" ht="12.75">
      <c r="A27" s="160" t="s">
        <v>149</v>
      </c>
      <c r="B27" s="162">
        <v>5877.72</v>
      </c>
      <c r="C27" s="162">
        <v>1619.25</v>
      </c>
      <c r="D27" s="162">
        <v>1565.44</v>
      </c>
      <c r="E27" s="162">
        <v>351.69</v>
      </c>
      <c r="F27" s="162">
        <f aca="true" t="shared" si="2" ref="F27:T27">SUM(F24:F26)</f>
        <v>8.991453176738737</v>
      </c>
      <c r="G27" s="162">
        <f t="shared" si="2"/>
        <v>11.755936504482339</v>
      </c>
      <c r="H27" s="162">
        <f t="shared" si="2"/>
        <v>0</v>
      </c>
      <c r="I27" s="162">
        <f t="shared" si="2"/>
        <v>0</v>
      </c>
      <c r="J27" s="162">
        <f t="shared" si="2"/>
        <v>0</v>
      </c>
      <c r="K27" s="162">
        <f t="shared" si="2"/>
        <v>11.284934186594812</v>
      </c>
      <c r="L27" s="162">
        <f t="shared" si="2"/>
        <v>13.94677038448923</v>
      </c>
      <c r="M27" s="162">
        <f t="shared" si="2"/>
        <v>0</v>
      </c>
      <c r="N27" s="162">
        <f t="shared" si="2"/>
        <v>0</v>
      </c>
      <c r="O27" s="162">
        <f t="shared" si="2"/>
        <v>0</v>
      </c>
      <c r="P27" s="162">
        <f t="shared" si="2"/>
        <v>10.849857636489288</v>
      </c>
      <c r="Q27" s="162">
        <f t="shared" si="2"/>
        <v>48.7471972882195</v>
      </c>
      <c r="R27" s="162">
        <f t="shared" si="2"/>
        <v>0</v>
      </c>
      <c r="S27" s="162">
        <f t="shared" si="2"/>
        <v>0</v>
      </c>
      <c r="T27" s="163">
        <f t="shared" si="2"/>
        <v>0</v>
      </c>
    </row>
    <row r="28" spans="1:20" s="2" customFormat="1" ht="12.75">
      <c r="A28" s="165" t="s">
        <v>156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7"/>
    </row>
    <row r="29" spans="1:20" ht="12.75">
      <c r="A29" s="160" t="s">
        <v>146</v>
      </c>
      <c r="B29" s="7">
        <v>458.05</v>
      </c>
      <c r="C29" s="7">
        <v>120.99</v>
      </c>
      <c r="D29" s="7">
        <v>189.43</v>
      </c>
      <c r="E29" s="7">
        <v>411.6</v>
      </c>
      <c r="F29" s="7">
        <f>$B29*2000*453.6/($B$7*1000)</f>
        <v>0.8769781886099591</v>
      </c>
      <c r="G29" s="7"/>
      <c r="H29" s="7"/>
      <c r="I29" s="7"/>
      <c r="J29" s="7"/>
      <c r="K29" s="7">
        <f>($C29+$D29)*2000*453.6/(($C$7+$D$7)*1000)</f>
        <v>1.3550162344223644</v>
      </c>
      <c r="L29" s="7"/>
      <c r="M29" s="7"/>
      <c r="N29" s="7"/>
      <c r="O29" s="7"/>
      <c r="P29" s="7">
        <f>$E29*2000*453.6/($E$7*1000)</f>
        <v>18.43239806496199</v>
      </c>
      <c r="Q29" s="7"/>
      <c r="R29" s="7"/>
      <c r="S29" s="7"/>
      <c r="T29" s="161"/>
    </row>
    <row r="30" spans="1:20" ht="12.75">
      <c r="A30" s="160" t="s">
        <v>147</v>
      </c>
      <c r="B30" s="7">
        <v>0</v>
      </c>
      <c r="C30" s="7">
        <v>0</v>
      </c>
      <c r="D30" s="7">
        <v>0</v>
      </c>
      <c r="E30" s="7">
        <v>14.11</v>
      </c>
      <c r="F30" s="7">
        <f>$B30*2000*453.6/($B$7*1000)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>
        <f>$E30*2000*453.6/($E$7*1000)</f>
        <v>0.6318783690393919</v>
      </c>
      <c r="Q30" s="7"/>
      <c r="R30" s="7"/>
      <c r="S30" s="7"/>
      <c r="T30" s="161"/>
    </row>
    <row r="31" spans="1:20" ht="12.75">
      <c r="A31" s="160" t="s">
        <v>148</v>
      </c>
      <c r="B31" s="7">
        <v>72.13</v>
      </c>
      <c r="C31" s="7">
        <v>13.8</v>
      </c>
      <c r="D31" s="7">
        <v>32.12</v>
      </c>
      <c r="E31" s="7">
        <v>3.53</v>
      </c>
      <c r="F31" s="7"/>
      <c r="G31" s="7">
        <f>B31*2000*453.6/$B$8</f>
        <v>0.7177306507891311</v>
      </c>
      <c r="H31" s="7"/>
      <c r="I31" s="7"/>
      <c r="J31" s="7"/>
      <c r="K31" s="7"/>
      <c r="L31" s="7">
        <f>(C31+D31)*2000*453.6/($C$8+$D$8)</f>
        <v>1.0684256382098454</v>
      </c>
      <c r="M31" s="7"/>
      <c r="N31" s="7"/>
      <c r="O31" s="7"/>
      <c r="P31" s="7"/>
      <c r="Q31" s="7">
        <f>E31*2000*453.6/$E$8</f>
        <v>1.5727776841917085</v>
      </c>
      <c r="R31" s="7"/>
      <c r="S31" s="7"/>
      <c r="T31" s="161"/>
    </row>
    <row r="32" spans="1:20" s="2" customFormat="1" ht="12.75">
      <c r="A32" s="160" t="s">
        <v>149</v>
      </c>
      <c r="B32" s="162">
        <v>530.19</v>
      </c>
      <c r="C32" s="162">
        <v>134.79</v>
      </c>
      <c r="D32" s="162">
        <v>221.55</v>
      </c>
      <c r="E32" s="162">
        <v>429.23</v>
      </c>
      <c r="F32" s="162">
        <f aca="true" t="shared" si="3" ref="F32:T32">SUM(F29:F31)</f>
        <v>0.8769781886099591</v>
      </c>
      <c r="G32" s="162">
        <f t="shared" si="3"/>
        <v>0.7177306507891311</v>
      </c>
      <c r="H32" s="162">
        <f t="shared" si="3"/>
        <v>0</v>
      </c>
      <c r="I32" s="162">
        <f t="shared" si="3"/>
        <v>0</v>
      </c>
      <c r="J32" s="162">
        <f t="shared" si="3"/>
        <v>0</v>
      </c>
      <c r="K32" s="162">
        <f t="shared" si="3"/>
        <v>1.3550162344223644</v>
      </c>
      <c r="L32" s="162">
        <f t="shared" si="3"/>
        <v>1.0684256382098454</v>
      </c>
      <c r="M32" s="162">
        <f t="shared" si="3"/>
        <v>0</v>
      </c>
      <c r="N32" s="162">
        <f t="shared" si="3"/>
        <v>0</v>
      </c>
      <c r="O32" s="162">
        <f t="shared" si="3"/>
        <v>0</v>
      </c>
      <c r="P32" s="162">
        <f t="shared" si="3"/>
        <v>19.064276434001382</v>
      </c>
      <c r="Q32" s="162">
        <f t="shared" si="3"/>
        <v>1.5727776841917085</v>
      </c>
      <c r="R32" s="162">
        <f t="shared" si="3"/>
        <v>0</v>
      </c>
      <c r="S32" s="162">
        <f t="shared" si="3"/>
        <v>0</v>
      </c>
      <c r="T32" s="163">
        <f t="shared" si="3"/>
        <v>0</v>
      </c>
    </row>
    <row r="33" spans="1:20" s="2" customFormat="1" ht="12.75">
      <c r="A33" s="165" t="s">
        <v>157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7"/>
    </row>
    <row r="34" spans="1:20" ht="12.75">
      <c r="A34" s="160" t="s">
        <v>146</v>
      </c>
      <c r="B34" s="7">
        <v>239.17</v>
      </c>
      <c r="C34" s="7">
        <v>39.87</v>
      </c>
      <c r="D34" s="7">
        <v>82.02</v>
      </c>
      <c r="E34" s="7">
        <v>47.05</v>
      </c>
      <c r="F34" s="7">
        <f>$B34*2000*453.6/($B$7*1000)</f>
        <v>0.45791261515084364</v>
      </c>
      <c r="G34" s="7"/>
      <c r="H34" s="7"/>
      <c r="I34" s="7"/>
      <c r="J34" s="7"/>
      <c r="K34" s="7">
        <f>($C34+$D34)*2000*453.6/(($C$7+$D$7)*1000)</f>
        <v>0.5320627820815088</v>
      </c>
      <c r="L34" s="7"/>
      <c r="M34" s="7"/>
      <c r="N34" s="7"/>
      <c r="O34" s="7"/>
      <c r="P34" s="7">
        <f>$E34*2000*453.6/($E$7*1000)</f>
        <v>2.107007601935038</v>
      </c>
      <c r="Q34" s="7"/>
      <c r="R34" s="7"/>
      <c r="S34" s="7"/>
      <c r="T34" s="161"/>
    </row>
    <row r="35" spans="1:20" ht="12.75">
      <c r="A35" s="160" t="s">
        <v>147</v>
      </c>
      <c r="B35" s="7">
        <v>0</v>
      </c>
      <c r="C35" s="7">
        <v>0</v>
      </c>
      <c r="D35" s="7">
        <v>0</v>
      </c>
      <c r="E35" s="7">
        <v>0</v>
      </c>
      <c r="F35" s="7">
        <f>$B35*2000*453.6/($B$7*1000)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>
        <f>$E35*2000*453.6/($E$7*1000)</f>
        <v>0</v>
      </c>
      <c r="Q35" s="7"/>
      <c r="R35" s="7"/>
      <c r="S35" s="7"/>
      <c r="T35" s="161"/>
    </row>
    <row r="36" spans="1:20" ht="12.75">
      <c r="A36" s="160" t="s">
        <v>148</v>
      </c>
      <c r="B36" s="7">
        <v>8.15</v>
      </c>
      <c r="C36" s="7">
        <v>1.48</v>
      </c>
      <c r="D36" s="7">
        <v>2.56</v>
      </c>
      <c r="E36" s="7">
        <v>0.07</v>
      </c>
      <c r="F36" s="7"/>
      <c r="G36" s="7">
        <f>B36*2000*453.6/$B$8</f>
        <v>0.0810966976837851</v>
      </c>
      <c r="H36" s="7"/>
      <c r="I36" s="7"/>
      <c r="J36" s="7"/>
      <c r="K36" s="7"/>
      <c r="L36" s="7">
        <f>(C36+D36)*2000*453.6/($C$8+$D$8)</f>
        <v>0.09399911973797419</v>
      </c>
      <c r="M36" s="7"/>
      <c r="N36" s="7"/>
      <c r="O36" s="7"/>
      <c r="P36" s="7"/>
      <c r="Q36" s="7">
        <f>E36*2000*453.6/$E$8</f>
        <v>0.031188226032130197</v>
      </c>
      <c r="R36" s="7"/>
      <c r="S36" s="7"/>
      <c r="T36" s="161"/>
    </row>
    <row r="37" spans="1:20" s="2" customFormat="1" ht="12.75">
      <c r="A37" s="160" t="s">
        <v>149</v>
      </c>
      <c r="B37" s="162">
        <v>247.32</v>
      </c>
      <c r="C37" s="162">
        <v>41.36</v>
      </c>
      <c r="D37" s="162">
        <v>84.58</v>
      </c>
      <c r="E37" s="162">
        <v>47.12</v>
      </c>
      <c r="F37" s="162">
        <f aca="true" t="shared" si="4" ref="F37:T37">SUM(F34:F36)</f>
        <v>0.45791261515084364</v>
      </c>
      <c r="G37" s="162">
        <f t="shared" si="4"/>
        <v>0.0810966976837851</v>
      </c>
      <c r="H37" s="162">
        <f t="shared" si="4"/>
        <v>0</v>
      </c>
      <c r="I37" s="162">
        <f t="shared" si="4"/>
        <v>0</v>
      </c>
      <c r="J37" s="162">
        <f t="shared" si="4"/>
        <v>0</v>
      </c>
      <c r="K37" s="162">
        <f t="shared" si="4"/>
        <v>0.5320627820815088</v>
      </c>
      <c r="L37" s="162">
        <f t="shared" si="4"/>
        <v>0.09399911973797419</v>
      </c>
      <c r="M37" s="162">
        <f t="shared" si="4"/>
        <v>0</v>
      </c>
      <c r="N37" s="162">
        <f t="shared" si="4"/>
        <v>0</v>
      </c>
      <c r="O37" s="162">
        <f t="shared" si="4"/>
        <v>0</v>
      </c>
      <c r="P37" s="162">
        <f t="shared" si="4"/>
        <v>2.107007601935038</v>
      </c>
      <c r="Q37" s="162">
        <f t="shared" si="4"/>
        <v>0.031188226032130197</v>
      </c>
      <c r="R37" s="162">
        <f t="shared" si="4"/>
        <v>0</v>
      </c>
      <c r="S37" s="162">
        <f t="shared" si="4"/>
        <v>0</v>
      </c>
      <c r="T37" s="163">
        <f t="shared" si="4"/>
        <v>0</v>
      </c>
    </row>
    <row r="38" spans="1:20" s="2" customFormat="1" ht="12.75">
      <c r="A38" s="165" t="s">
        <v>158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7"/>
    </row>
    <row r="39" spans="1:20" ht="12.75">
      <c r="A39" s="160" t="s">
        <v>146</v>
      </c>
      <c r="B39" s="7">
        <v>8.46</v>
      </c>
      <c r="C39" s="7">
        <v>1.56</v>
      </c>
      <c r="D39" s="7">
        <v>4.01</v>
      </c>
      <c r="E39" s="7">
        <v>12.47</v>
      </c>
      <c r="F39" s="7">
        <f>$B39*2000*453.6/($B$7*1000)</f>
        <v>0.016197435816265156</v>
      </c>
      <c r="G39" s="7"/>
      <c r="H39" s="7"/>
      <c r="I39" s="7"/>
      <c r="J39" s="7"/>
      <c r="K39" s="7">
        <f>($C39+$D39)*2000*453.6/(($C$7+$D$7)*1000)</f>
        <v>0.024313640956551027</v>
      </c>
      <c r="L39" s="7"/>
      <c r="M39" s="7"/>
      <c r="N39" s="7"/>
      <c r="O39" s="7"/>
      <c r="P39" s="7">
        <f>$E39*2000*453.6/($E$7*1000)</f>
        <v>0.5584353835521769</v>
      </c>
      <c r="Q39" s="7"/>
      <c r="R39" s="7"/>
      <c r="S39" s="7"/>
      <c r="T39" s="161"/>
    </row>
    <row r="40" spans="1:20" ht="12.75">
      <c r="A40" s="160" t="s">
        <v>147</v>
      </c>
      <c r="B40" s="7">
        <v>0</v>
      </c>
      <c r="C40" s="7">
        <v>0</v>
      </c>
      <c r="D40" s="7">
        <v>0</v>
      </c>
      <c r="E40" s="7">
        <v>0.08</v>
      </c>
      <c r="F40" s="7">
        <f>$B40*2000*453.6/($B$7*1000)</f>
        <v>0</v>
      </c>
      <c r="G40" s="7"/>
      <c r="H40" s="7"/>
      <c r="I40" s="7"/>
      <c r="J40" s="7"/>
      <c r="K40" s="7"/>
      <c r="L40" s="7"/>
      <c r="M40" s="7"/>
      <c r="N40" s="7"/>
      <c r="O40" s="7"/>
      <c r="P40" s="7">
        <f>$E40*2000*453.6/($E$7*1000)</f>
        <v>0.003582584657912923</v>
      </c>
      <c r="Q40" s="7"/>
      <c r="R40" s="7"/>
      <c r="S40" s="7"/>
      <c r="T40" s="161"/>
    </row>
    <row r="41" spans="1:20" ht="12.75">
      <c r="A41" s="160" t="s">
        <v>148</v>
      </c>
      <c r="B41" s="7">
        <v>0.65</v>
      </c>
      <c r="C41" s="7">
        <v>0.14</v>
      </c>
      <c r="D41" s="7">
        <v>0.29</v>
      </c>
      <c r="E41" s="7">
        <v>0</v>
      </c>
      <c r="F41" s="7"/>
      <c r="G41" s="7">
        <f>B41*2000*453.6/$B$8</f>
        <v>0.006467834784596357</v>
      </c>
      <c r="H41" s="7"/>
      <c r="I41" s="7"/>
      <c r="J41" s="7"/>
      <c r="K41" s="7"/>
      <c r="L41" s="7">
        <f>(C41+D41)*2000*453.6/($C$8+$D$8)</f>
        <v>0.010004856803794282</v>
      </c>
      <c r="M41" s="7"/>
      <c r="N41" s="7"/>
      <c r="O41" s="7"/>
      <c r="P41" s="7"/>
      <c r="Q41" s="7">
        <f>E41*2000*453.6/$E$8</f>
        <v>0</v>
      </c>
      <c r="R41" s="7"/>
      <c r="S41" s="7"/>
      <c r="T41" s="161"/>
    </row>
    <row r="42" spans="1:20" s="2" customFormat="1" ht="12.75">
      <c r="A42" s="160" t="s">
        <v>149</v>
      </c>
      <c r="B42" s="162">
        <v>9.11</v>
      </c>
      <c r="C42" s="162">
        <v>1.7</v>
      </c>
      <c r="D42" s="162">
        <v>4.3</v>
      </c>
      <c r="E42" s="162">
        <v>12.56</v>
      </c>
      <c r="F42" s="162">
        <f aca="true" t="shared" si="5" ref="F42:T42">SUM(F39:F41)</f>
        <v>0.016197435816265156</v>
      </c>
      <c r="G42" s="162">
        <f t="shared" si="5"/>
        <v>0.006467834784596357</v>
      </c>
      <c r="H42" s="162">
        <f t="shared" si="5"/>
        <v>0</v>
      </c>
      <c r="I42" s="162">
        <f t="shared" si="5"/>
        <v>0</v>
      </c>
      <c r="J42" s="162">
        <f t="shared" si="5"/>
        <v>0</v>
      </c>
      <c r="K42" s="162">
        <f t="shared" si="5"/>
        <v>0.024313640956551027</v>
      </c>
      <c r="L42" s="162">
        <f t="shared" si="5"/>
        <v>0.010004856803794282</v>
      </c>
      <c r="M42" s="162">
        <f t="shared" si="5"/>
        <v>0</v>
      </c>
      <c r="N42" s="162">
        <f t="shared" si="5"/>
        <v>0</v>
      </c>
      <c r="O42" s="162">
        <f t="shared" si="5"/>
        <v>0</v>
      </c>
      <c r="P42" s="162">
        <f t="shared" si="5"/>
        <v>0.5620179682100899</v>
      </c>
      <c r="Q42" s="162">
        <f t="shared" si="5"/>
        <v>0</v>
      </c>
      <c r="R42" s="162">
        <f t="shared" si="5"/>
        <v>0</v>
      </c>
      <c r="S42" s="162">
        <f t="shared" si="5"/>
        <v>0</v>
      </c>
      <c r="T42" s="163">
        <f t="shared" si="5"/>
        <v>0</v>
      </c>
    </row>
    <row r="43" spans="1:20" ht="12.75">
      <c r="A43" s="16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61"/>
    </row>
    <row r="44" spans="1:20" ht="12.75">
      <c r="A44" s="160" t="s">
        <v>159</v>
      </c>
      <c r="B44" s="7">
        <v>4.13</v>
      </c>
      <c r="C44" s="7">
        <v>0.61</v>
      </c>
      <c r="D44" s="7">
        <v>2.59</v>
      </c>
      <c r="E44" s="7">
        <v>0.79</v>
      </c>
      <c r="F44" s="7">
        <f>B44/($B$7*1000)*2000*453.6</f>
        <v>0.007907258855930861</v>
      </c>
      <c r="G44" s="7"/>
      <c r="H44" s="7"/>
      <c r="I44" s="7"/>
      <c r="J44" s="7"/>
      <c r="K44" s="7">
        <f>(C44+D44)/(($C$7+$D$7)*1000)*2000*453.6</f>
        <v>0.013968339508251935</v>
      </c>
      <c r="L44" s="7"/>
      <c r="M44" s="7"/>
      <c r="N44" s="7"/>
      <c r="O44" s="7"/>
      <c r="P44" s="7">
        <f>E44/($E$7*1000)*2000*453.6</f>
        <v>0.03537802349689012</v>
      </c>
      <c r="Q44" s="7"/>
      <c r="R44" s="7"/>
      <c r="S44" s="7"/>
      <c r="T44" s="161"/>
    </row>
    <row r="45" spans="1:20" ht="12.75">
      <c r="A45" s="160" t="s">
        <v>160</v>
      </c>
      <c r="B45" s="7">
        <v>6.48</v>
      </c>
      <c r="C45" s="7">
        <v>0.96</v>
      </c>
      <c r="D45" s="7">
        <v>4.07</v>
      </c>
      <c r="E45" s="7">
        <v>0.28</v>
      </c>
      <c r="F45" s="7">
        <f>B45/($B$7*1000)*2000*453.6</f>
        <v>0.012406546582671183</v>
      </c>
      <c r="G45" s="7"/>
      <c r="H45" s="7"/>
      <c r="I45" s="7"/>
      <c r="J45" s="7"/>
      <c r="K45" s="7">
        <f>(C45+D45)/(($C$7+$D$7)*1000)*2000*453.6</f>
        <v>0.021956483664533517</v>
      </c>
      <c r="L45" s="7"/>
      <c r="M45" s="7"/>
      <c r="N45" s="7"/>
      <c r="O45" s="7"/>
      <c r="P45" s="7">
        <f>E45/($E$7*1000)*2000*453.6</f>
        <v>0.012539046302695233</v>
      </c>
      <c r="Q45" s="7"/>
      <c r="R45" s="7"/>
      <c r="S45" s="7"/>
      <c r="T45" s="161"/>
    </row>
    <row r="46" spans="1:20" s="2" customFormat="1" ht="12.75">
      <c r="A46" s="160" t="s">
        <v>154</v>
      </c>
      <c r="B46" s="162">
        <v>19.72</v>
      </c>
      <c r="C46" s="162">
        <v>3.28</v>
      </c>
      <c r="D46" s="162">
        <v>10.96</v>
      </c>
      <c r="E46" s="162">
        <v>13.62</v>
      </c>
      <c r="F46" s="162">
        <f>SUM(F42:F45)</f>
        <v>0.0365112412548672</v>
      </c>
      <c r="G46" s="162">
        <f>SUM(G42:G45)</f>
        <v>0.006467834784596357</v>
      </c>
      <c r="H46" s="162"/>
      <c r="I46" s="162"/>
      <c r="J46" s="162"/>
      <c r="K46" s="162">
        <f>SUM(K42:K45)</f>
        <v>0.06023846412933648</v>
      </c>
      <c r="L46" s="162">
        <f>SUM(L42:L45)</f>
        <v>0.010004856803794282</v>
      </c>
      <c r="M46" s="162"/>
      <c r="N46" s="162"/>
      <c r="O46" s="162"/>
      <c r="P46" s="162">
        <f>SUM(P42:P45)</f>
        <v>0.6099350380096752</v>
      </c>
      <c r="Q46" s="162"/>
      <c r="R46" s="162"/>
      <c r="S46" s="162"/>
      <c r="T46" s="163"/>
    </row>
    <row r="47" spans="1:20" ht="12.75">
      <c r="A47" s="1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61"/>
    </row>
    <row r="48" spans="1:20" ht="12.75">
      <c r="A48" s="160" t="s">
        <v>161</v>
      </c>
      <c r="B48" s="7">
        <v>0</v>
      </c>
      <c r="C48" s="7">
        <v>0</v>
      </c>
      <c r="D48" s="7">
        <v>0</v>
      </c>
      <c r="E48" s="7"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61"/>
    </row>
    <row r="49" spans="1:20" ht="12.75">
      <c r="A49" s="160" t="s">
        <v>162</v>
      </c>
      <c r="B49" s="7">
        <v>3.57</v>
      </c>
      <c r="C49" s="7">
        <v>0.61</v>
      </c>
      <c r="D49" s="7">
        <v>1.19</v>
      </c>
      <c r="E49" s="7">
        <v>4.05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61"/>
    </row>
    <row r="50" spans="1:20" ht="12.75">
      <c r="A50" s="160"/>
      <c r="B50" s="168" t="s">
        <v>163</v>
      </c>
      <c r="C50" s="169"/>
      <c r="D50" s="169"/>
      <c r="E50" s="17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61"/>
    </row>
    <row r="51" spans="1:20" ht="12.75">
      <c r="A51" s="171" t="s">
        <v>164</v>
      </c>
      <c r="B51" s="4">
        <v>26276.36</v>
      </c>
      <c r="C51" s="4">
        <v>4501.51</v>
      </c>
      <c r="D51" s="4">
        <v>8926.14</v>
      </c>
      <c r="E51" s="4">
        <v>87.27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45"/>
    </row>
    <row r="52" spans="1:20" ht="13.5" thickBot="1">
      <c r="A52" s="172" t="s">
        <v>165</v>
      </c>
      <c r="B52" s="173">
        <v>111.13</v>
      </c>
      <c r="C52" s="173">
        <v>21.35</v>
      </c>
      <c r="D52" s="173">
        <v>14.43</v>
      </c>
      <c r="E52" s="173">
        <v>4199.87</v>
      </c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9"/>
    </row>
  </sheetData>
  <mergeCells count="10">
    <mergeCell ref="B50:E50"/>
    <mergeCell ref="F10:J10"/>
    <mergeCell ref="K10:O10"/>
    <mergeCell ref="B11:E11"/>
    <mergeCell ref="P10:T10"/>
    <mergeCell ref="A38:T38"/>
    <mergeCell ref="A33:T33"/>
    <mergeCell ref="A12:T12"/>
    <mergeCell ref="A23:T23"/>
    <mergeCell ref="A28:T28"/>
  </mergeCells>
  <printOptions horizontalCentered="1"/>
  <pageMargins left="0.75" right="0.19" top="0.75" bottom="0.5" header="0.5" footer="0.5"/>
  <pageSetup fitToWidth="2" fitToHeight="1" horizontalDpi="400" verticalDpi="400" orientation="landscape" scale="68" r:id="rId1"/>
  <headerFooter alignWithMargins="0">
    <oddHeader>&amp;C&amp;"Arial,Bold"Vehicle Emission Factors from EMFAC2000</oddHead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F12">
      <selection activeCell="J12" sqref="J12:J13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 thickBot="1">
      <c r="A2" s="82" t="s">
        <v>90</v>
      </c>
      <c r="B2" s="83" t="s">
        <v>55</v>
      </c>
      <c r="C2" s="20"/>
      <c r="D2" s="83" t="s">
        <v>56</v>
      </c>
      <c r="E2" s="19"/>
      <c r="F2" s="19"/>
      <c r="G2" s="19"/>
      <c r="H2" s="19"/>
      <c r="I2" s="84" t="s">
        <v>57</v>
      </c>
      <c r="J2" s="85"/>
      <c r="K2" s="86" t="s">
        <v>59</v>
      </c>
    </row>
    <row r="3" spans="1:11" ht="51.75" thickBot="1">
      <c r="A3" s="87"/>
      <c r="B3" s="88" t="s">
        <v>91</v>
      </c>
      <c r="C3" s="89" t="s">
        <v>92</v>
      </c>
      <c r="D3" s="88" t="s">
        <v>93</v>
      </c>
      <c r="E3" s="90" t="s">
        <v>92</v>
      </c>
      <c r="F3" s="91" t="s">
        <v>94</v>
      </c>
      <c r="G3" s="91" t="s">
        <v>95</v>
      </c>
      <c r="H3" s="89" t="s">
        <v>96</v>
      </c>
      <c r="I3" s="88" t="s">
        <v>91</v>
      </c>
      <c r="J3" s="89" t="s">
        <v>92</v>
      </c>
      <c r="K3" s="92" t="s">
        <v>97</v>
      </c>
    </row>
    <row r="4" spans="1:11" ht="39" thickBot="1">
      <c r="A4" s="93" t="s">
        <v>98</v>
      </c>
      <c r="B4" s="94">
        <v>8.99</v>
      </c>
      <c r="C4" s="94">
        <v>11.76</v>
      </c>
      <c r="D4" s="94">
        <v>0.54</v>
      </c>
      <c r="E4" s="94">
        <v>1.18</v>
      </c>
      <c r="F4" s="95">
        <v>0.37</v>
      </c>
      <c r="G4" s="94">
        <v>0.17</v>
      </c>
      <c r="H4" s="86">
        <v>0.39</v>
      </c>
      <c r="I4" s="94">
        <v>0.88</v>
      </c>
      <c r="J4" s="86">
        <v>0.72</v>
      </c>
      <c r="K4" s="86">
        <v>0.05</v>
      </c>
    </row>
    <row r="5" spans="1:11" ht="13.5" thickBot="1">
      <c r="A5" s="96" t="s">
        <v>99</v>
      </c>
      <c r="B5" s="29">
        <v>11.28</v>
      </c>
      <c r="C5" s="29">
        <v>13.95</v>
      </c>
      <c r="D5" s="29">
        <v>0.57</v>
      </c>
      <c r="E5" s="29">
        <v>1.25</v>
      </c>
      <c r="F5" s="84">
        <v>0.37</v>
      </c>
      <c r="G5" s="29">
        <v>0.16</v>
      </c>
      <c r="H5" s="29">
        <v>0.34</v>
      </c>
      <c r="I5" s="29">
        <v>1.36</v>
      </c>
      <c r="J5" s="85">
        <v>1.07</v>
      </c>
      <c r="K5" s="85">
        <v>0.07</v>
      </c>
    </row>
    <row r="6" spans="1:11" ht="13.5" thickBot="1">
      <c r="A6" s="96" t="s">
        <v>100</v>
      </c>
      <c r="B6" s="29">
        <v>48.75</v>
      </c>
      <c r="C6" s="29" t="s">
        <v>101</v>
      </c>
      <c r="D6" s="29">
        <v>1.39</v>
      </c>
      <c r="E6" s="29">
        <v>2.55</v>
      </c>
      <c r="F6" s="29">
        <v>0.09</v>
      </c>
      <c r="G6" s="29" t="s">
        <v>101</v>
      </c>
      <c r="H6" s="29">
        <v>0.11</v>
      </c>
      <c r="I6" s="29">
        <v>19.06</v>
      </c>
      <c r="J6" s="29">
        <v>1.57</v>
      </c>
      <c r="K6" s="85">
        <v>0.61</v>
      </c>
    </row>
    <row r="8" ht="13.5" thickBot="1"/>
    <row r="9" spans="1:12" ht="13.5" thickBot="1">
      <c r="A9" s="97"/>
      <c r="B9" s="83" t="s">
        <v>102</v>
      </c>
      <c r="C9" s="19"/>
      <c r="D9" s="20"/>
      <c r="E9" s="83" t="s">
        <v>103</v>
      </c>
      <c r="F9" s="19"/>
      <c r="G9" s="19"/>
      <c r="H9" s="19"/>
      <c r="I9" s="19"/>
      <c r="J9" s="19"/>
      <c r="K9" s="19"/>
      <c r="L9" s="20"/>
    </row>
    <row r="10" spans="1:12" ht="13.5" customHeight="1" thickBot="1">
      <c r="A10" s="98"/>
      <c r="B10" s="99" t="s">
        <v>104</v>
      </c>
      <c r="C10" s="100" t="s">
        <v>105</v>
      </c>
      <c r="D10" s="101" t="s">
        <v>106</v>
      </c>
      <c r="E10" s="83" t="s">
        <v>55</v>
      </c>
      <c r="F10" s="20"/>
      <c r="G10" s="83" t="s">
        <v>56</v>
      </c>
      <c r="H10" s="19"/>
      <c r="I10" s="20"/>
      <c r="J10" s="83" t="s">
        <v>57</v>
      </c>
      <c r="K10" s="20"/>
      <c r="L10" s="28" t="s">
        <v>59</v>
      </c>
    </row>
    <row r="11" spans="1:12" ht="64.5" thickBot="1">
      <c r="A11" s="102" t="s">
        <v>107</v>
      </c>
      <c r="B11" s="103"/>
      <c r="C11" s="104"/>
      <c r="D11" s="105"/>
      <c r="E11" s="106" t="s">
        <v>108</v>
      </c>
      <c r="F11" s="92" t="s">
        <v>109</v>
      </c>
      <c r="G11" s="106" t="s">
        <v>110</v>
      </c>
      <c r="H11" s="106" t="s">
        <v>111</v>
      </c>
      <c r="I11" s="107" t="s">
        <v>112</v>
      </c>
      <c r="J11" s="108" t="s">
        <v>113</v>
      </c>
      <c r="K11" s="106" t="s">
        <v>109</v>
      </c>
      <c r="L11" s="106" t="s">
        <v>114</v>
      </c>
    </row>
    <row r="12" spans="1:12" ht="12.75" customHeight="1">
      <c r="A12" s="109" t="s">
        <v>115</v>
      </c>
      <c r="B12" s="110">
        <v>11</v>
      </c>
      <c r="C12" s="110">
        <f>B12*2</f>
        <v>22</v>
      </c>
      <c r="D12" s="110">
        <v>11.5</v>
      </c>
      <c r="E12" s="111">
        <f>C12*D12*B$4/453.6</f>
        <v>5.014263668430336</v>
      </c>
      <c r="F12" s="111">
        <f>C12*C$4/453.6</f>
        <v>0.5703703703703703</v>
      </c>
      <c r="G12" s="111">
        <f>C12*D12*(D$4+H$4)/453.6</f>
        <v>0.5187169312169312</v>
      </c>
      <c r="H12" s="111">
        <f>C12*(E$4+F$4)/453.6</f>
        <v>0.0751763668430335</v>
      </c>
      <c r="I12" s="111">
        <f>B12*8*G$4/453.6</f>
        <v>0.032980599647266316</v>
      </c>
      <c r="J12" s="111">
        <f>C12*D12*I$4/453.6</f>
        <v>0.4908289241622575</v>
      </c>
      <c r="K12" s="112">
        <f>C12*J$4/453.6</f>
        <v>0.03492063492063492</v>
      </c>
      <c r="L12" s="111">
        <f>C12*D12*K$4/453.6</f>
        <v>0.02788800705467372</v>
      </c>
    </row>
    <row r="13" spans="1:12" ht="13.5" thickBot="1">
      <c r="A13" s="113"/>
      <c r="B13" s="114"/>
      <c r="C13" s="114"/>
      <c r="D13" s="114"/>
      <c r="E13" s="115"/>
      <c r="F13" s="115"/>
      <c r="G13" s="115"/>
      <c r="H13" s="115"/>
      <c r="I13" s="115"/>
      <c r="J13" s="115"/>
      <c r="K13" s="116"/>
      <c r="L13" s="115"/>
    </row>
    <row r="14" spans="1:12" ht="12.75">
      <c r="A14" s="99" t="s">
        <v>99</v>
      </c>
      <c r="B14" s="110">
        <v>1</v>
      </c>
      <c r="C14" s="110">
        <f>B14*2</f>
        <v>2</v>
      </c>
      <c r="D14" s="110">
        <v>11.5</v>
      </c>
      <c r="E14" s="111">
        <f>C14*D14*B6/453.6</f>
        <v>2.4718915343915344</v>
      </c>
      <c r="F14" s="111">
        <f>C14*C5/453.6</f>
        <v>0.061507936507936505</v>
      </c>
      <c r="G14" s="111">
        <f>C14*D14*(D6+H6)/453.6</f>
        <v>0.07605820105820106</v>
      </c>
      <c r="H14" s="111">
        <f>C14*(E5+F5)/453.6</f>
        <v>0.007142857142857143</v>
      </c>
      <c r="I14" s="111">
        <f>B14*8*G5/453.6</f>
        <v>0.002821869488536155</v>
      </c>
      <c r="J14" s="111">
        <f>I5*C14*D14/453.6</f>
        <v>0.0689594356261023</v>
      </c>
      <c r="K14" s="111">
        <f>J5*C14/453.6</f>
        <v>0.004717813051146384</v>
      </c>
      <c r="L14" s="111">
        <f>K5*C14*D14/453.6</f>
        <v>0.0035493827160493828</v>
      </c>
    </row>
    <row r="15" spans="1:12" ht="13.5" thickBot="1">
      <c r="A15" s="117"/>
      <c r="B15" s="87"/>
      <c r="C15" s="114"/>
      <c r="D15" s="87"/>
      <c r="E15" s="115"/>
      <c r="F15" s="115"/>
      <c r="G15" s="115"/>
      <c r="H15" s="115"/>
      <c r="I15" s="115"/>
      <c r="J15" s="115"/>
      <c r="K15" s="115"/>
      <c r="L15" s="115"/>
    </row>
    <row r="16" spans="1:12" ht="26.25" thickBot="1">
      <c r="A16" s="93" t="s">
        <v>116</v>
      </c>
      <c r="B16" s="94">
        <v>1</v>
      </c>
      <c r="C16" s="29">
        <f>B16*2</f>
        <v>2</v>
      </c>
      <c r="D16" s="29">
        <v>50</v>
      </c>
      <c r="E16" s="118">
        <f>C16*D16*B$6/453.6</f>
        <v>10.747354497354497</v>
      </c>
      <c r="F16" s="118" t="s">
        <v>101</v>
      </c>
      <c r="G16" s="118">
        <f>C16*D16*(D$6+H$6)/453.6</f>
        <v>0.3306878306878307</v>
      </c>
      <c r="H16" s="118">
        <f>C16*(E6+F6)/453.6</f>
        <v>0.011640211640211638</v>
      </c>
      <c r="I16" s="118" t="s">
        <v>101</v>
      </c>
      <c r="J16" s="118">
        <f>C16*D16*I$6/453.6</f>
        <v>4.201940035273368</v>
      </c>
      <c r="K16" s="118">
        <f>J5*C16/453.6</f>
        <v>0.004717813051146384</v>
      </c>
      <c r="L16" s="119">
        <f>K$6*C16*D16/453.6</f>
        <v>0.13447971781305115</v>
      </c>
    </row>
    <row r="17" spans="1:12" ht="13.5" thickBot="1">
      <c r="A17" s="120" t="s">
        <v>100</v>
      </c>
      <c r="B17" s="94">
        <v>1</v>
      </c>
      <c r="C17" s="29">
        <f>B17</f>
        <v>1</v>
      </c>
      <c r="D17" s="29">
        <v>4</v>
      </c>
      <c r="E17" s="118">
        <f>C17*D17*B$6/453.6</f>
        <v>0.4298941798941799</v>
      </c>
      <c r="F17" s="118" t="s">
        <v>101</v>
      </c>
      <c r="G17" s="118">
        <f>C17*D17*(D$6+H$6)/453.6</f>
        <v>0.013227513227513227</v>
      </c>
      <c r="H17" s="118">
        <f>C17*(E6+F6)/453.6</f>
        <v>0.005820105820105819</v>
      </c>
      <c r="I17" s="118" t="s">
        <v>101</v>
      </c>
      <c r="J17" s="118">
        <f>C17*D17*I$6/453.6</f>
        <v>0.16807760141093472</v>
      </c>
      <c r="K17" s="118">
        <f>J5*C17/453.6</f>
        <v>0.002358906525573192</v>
      </c>
      <c r="L17" s="119">
        <f>K$6*C17*D17/453.6</f>
        <v>0.005379188712522046</v>
      </c>
    </row>
    <row r="18" spans="1:12" ht="13.5" thickBot="1">
      <c r="A18" s="121"/>
      <c r="B18" s="84"/>
      <c r="C18" s="84"/>
      <c r="D18" s="84"/>
      <c r="E18" s="122"/>
      <c r="F18" s="122"/>
      <c r="G18" s="122"/>
      <c r="H18" s="122"/>
      <c r="I18" s="122"/>
      <c r="J18" s="122"/>
      <c r="K18" s="122"/>
      <c r="L18" s="122"/>
    </row>
    <row r="19" spans="1:12" ht="13.5" thickBot="1">
      <c r="A19" s="98" t="s">
        <v>107</v>
      </c>
      <c r="B19" s="123" t="s">
        <v>102</v>
      </c>
      <c r="C19" s="19"/>
      <c r="D19" s="20"/>
      <c r="E19" s="124" t="s">
        <v>55</v>
      </c>
      <c r="F19" s="125"/>
      <c r="G19" s="124" t="s">
        <v>56</v>
      </c>
      <c r="H19" s="126"/>
      <c r="I19" s="125"/>
      <c r="J19" s="124" t="s">
        <v>57</v>
      </c>
      <c r="K19" s="125"/>
      <c r="L19" s="127" t="s">
        <v>59</v>
      </c>
    </row>
    <row r="20" spans="1:12" ht="12.75" customHeight="1">
      <c r="A20" s="109" t="s">
        <v>117</v>
      </c>
      <c r="B20" s="110">
        <f>B12</f>
        <v>11</v>
      </c>
      <c r="C20" s="110">
        <f>C12</f>
        <v>22</v>
      </c>
      <c r="D20" s="110"/>
      <c r="E20" s="128">
        <f>E12+F12</f>
        <v>5.584634038800706</v>
      </c>
      <c r="F20" s="112"/>
      <c r="G20" s="128">
        <f>G12+H12+I12</f>
        <v>0.626873897707231</v>
      </c>
      <c r="H20" s="129"/>
      <c r="I20" s="130"/>
      <c r="J20" s="128">
        <f>J12+K12</f>
        <v>0.5257495590828924</v>
      </c>
      <c r="K20" s="112"/>
      <c r="L20" s="111">
        <f>L12</f>
        <v>0.02788800705467372</v>
      </c>
    </row>
    <row r="21" spans="1:12" ht="13.5" thickBot="1">
      <c r="A21" s="113"/>
      <c r="B21" s="114"/>
      <c r="C21" s="114"/>
      <c r="D21" s="114"/>
      <c r="E21" s="131"/>
      <c r="F21" s="116"/>
      <c r="G21" s="131"/>
      <c r="H21" s="132"/>
      <c r="I21" s="133"/>
      <c r="J21" s="131"/>
      <c r="K21" s="116"/>
      <c r="L21" s="115"/>
    </row>
    <row r="22" spans="1:12" ht="12.75" customHeight="1">
      <c r="A22" s="99" t="s">
        <v>118</v>
      </c>
      <c r="B22" s="110">
        <f>B14</f>
        <v>1</v>
      </c>
      <c r="C22" s="110">
        <f>C14</f>
        <v>2</v>
      </c>
      <c r="D22" s="110"/>
      <c r="E22" s="128">
        <f>E14+F14</f>
        <v>2.5333994708994707</v>
      </c>
      <c r="F22" s="112"/>
      <c r="G22" s="128">
        <f>G14+H14+I14</f>
        <v>0.08602292768959437</v>
      </c>
      <c r="H22" s="129"/>
      <c r="I22" s="130"/>
      <c r="J22" s="128">
        <f>J14+K14</f>
        <v>0.07367724867724867</v>
      </c>
      <c r="K22" s="112"/>
      <c r="L22" s="111">
        <f>L14</f>
        <v>0.0035493827160493828</v>
      </c>
    </row>
    <row r="23" spans="1:12" ht="15.75" customHeight="1" thickBot="1">
      <c r="A23" s="117"/>
      <c r="B23" s="87"/>
      <c r="C23" s="87"/>
      <c r="D23" s="87"/>
      <c r="E23" s="131"/>
      <c r="F23" s="116"/>
      <c r="G23" s="131"/>
      <c r="H23" s="132"/>
      <c r="I23" s="133"/>
      <c r="J23" s="131"/>
      <c r="K23" s="116"/>
      <c r="L23" s="115"/>
    </row>
    <row r="24" spans="1:12" ht="27.75" customHeight="1" thickBot="1">
      <c r="A24" s="134" t="s">
        <v>119</v>
      </c>
      <c r="B24" s="29">
        <f>B17+B16</f>
        <v>2</v>
      </c>
      <c r="C24" s="29">
        <f>+C16+C17</f>
        <v>3</v>
      </c>
      <c r="D24" s="29"/>
      <c r="E24" s="124">
        <f>+E16+E17</f>
        <v>11.177248677248677</v>
      </c>
      <c r="F24" s="125"/>
      <c r="G24" s="124">
        <f>G16+G17+H16+H17</f>
        <v>0.3613756613756614</v>
      </c>
      <c r="H24" s="126"/>
      <c r="I24" s="125"/>
      <c r="J24" s="124">
        <f>J17+J16+K16+K17</f>
        <v>4.377094356261022</v>
      </c>
      <c r="K24" s="125"/>
      <c r="L24" s="119">
        <f>L17+L16</f>
        <v>0.1398589065255732</v>
      </c>
    </row>
    <row r="25" spans="1:12" ht="13.5" thickBot="1">
      <c r="A25" s="28" t="s">
        <v>120</v>
      </c>
      <c r="B25" s="96"/>
      <c r="C25" s="121"/>
      <c r="D25" s="135"/>
      <c r="E25" s="124">
        <f>SUM(E20:F24)</f>
        <v>19.295282186948853</v>
      </c>
      <c r="F25" s="20"/>
      <c r="G25" s="124">
        <f>SUM(G20:I24)</f>
        <v>1.0742724867724869</v>
      </c>
      <c r="H25" s="19"/>
      <c r="I25" s="20"/>
      <c r="J25" s="124">
        <f>SUM(J20:K24)</f>
        <v>4.976521164021163</v>
      </c>
      <c r="K25" s="20"/>
      <c r="L25" s="118">
        <f>SUM(L20:L24)</f>
        <v>0.1712962962962963</v>
      </c>
    </row>
    <row r="27" ht="12.75">
      <c r="A27" s="39" t="s">
        <v>121</v>
      </c>
    </row>
    <row r="28" ht="12.75">
      <c r="A28" s="39" t="s">
        <v>122</v>
      </c>
    </row>
    <row r="29" ht="12.75">
      <c r="A29" s="39" t="s">
        <v>123</v>
      </c>
    </row>
    <row r="30" ht="12.75">
      <c r="A30" s="39" t="s">
        <v>124</v>
      </c>
    </row>
    <row r="31" ht="12.75">
      <c r="L31" s="81">
        <f ca="1">TODAY()</f>
        <v>37245</v>
      </c>
    </row>
    <row r="32" ht="12.75">
      <c r="A32" s="39"/>
    </row>
    <row r="34" ht="12.75">
      <c r="A34" s="39" t="s">
        <v>125</v>
      </c>
    </row>
    <row r="35" ht="12.75">
      <c r="L35" s="81"/>
    </row>
  </sheetData>
  <mergeCells count="61">
    <mergeCell ref="E12:E13"/>
    <mergeCell ref="F12:F13"/>
    <mergeCell ref="G10:I10"/>
    <mergeCell ref="G12:G13"/>
    <mergeCell ref="H12:H13"/>
    <mergeCell ref="I12:I13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A12:A13"/>
    <mergeCell ref="B12:B13"/>
    <mergeCell ref="C12:C13"/>
    <mergeCell ref="D12:D13"/>
    <mergeCell ref="J12:J13"/>
    <mergeCell ref="K12:K13"/>
    <mergeCell ref="L12:L13"/>
    <mergeCell ref="A14:A15"/>
    <mergeCell ref="B14:B15"/>
    <mergeCell ref="C14:C15"/>
    <mergeCell ref="D14:D15"/>
    <mergeCell ref="E14:E15"/>
    <mergeCell ref="F14:F15"/>
    <mergeCell ref="G14:G15"/>
    <mergeCell ref="L14:L15"/>
    <mergeCell ref="B19:D19"/>
    <mergeCell ref="E19:F19"/>
    <mergeCell ref="G19:I19"/>
    <mergeCell ref="J19:K19"/>
    <mergeCell ref="H14:H15"/>
    <mergeCell ref="I14:I15"/>
    <mergeCell ref="J14:J15"/>
    <mergeCell ref="K14:K15"/>
    <mergeCell ref="A20:A21"/>
    <mergeCell ref="B20:B21"/>
    <mergeCell ref="C20:C21"/>
    <mergeCell ref="D20:D21"/>
    <mergeCell ref="E20:F21"/>
    <mergeCell ref="G20:I21"/>
    <mergeCell ref="J20:K21"/>
    <mergeCell ref="L20:L21"/>
    <mergeCell ref="A22:A23"/>
    <mergeCell ref="B22:B23"/>
    <mergeCell ref="C22:C23"/>
    <mergeCell ref="D22:D23"/>
    <mergeCell ref="G22:I23"/>
    <mergeCell ref="J22:K23"/>
    <mergeCell ref="E22:F23"/>
    <mergeCell ref="L22:L23"/>
    <mergeCell ref="E25:F25"/>
    <mergeCell ref="G25:I25"/>
    <mergeCell ref="J25:K25"/>
    <mergeCell ref="E24:F24"/>
    <mergeCell ref="G24:I24"/>
    <mergeCell ref="J24:K24"/>
  </mergeCells>
  <printOptions horizontalCentered="1"/>
  <pageMargins left="0.75" right="0.75" top="1" bottom="1" header="0.5" footer="0.5"/>
  <pageSetup firstPageNumber="3" useFirstPageNumber="1" fitToHeight="1" fitToWidth="1" horizontalDpi="600" verticalDpi="600" orientation="landscape" scale="80" r:id="rId1"/>
  <headerFooter alignWithMargins="0">
    <oddHeader xml:space="preserve">&amp;C&amp;"Arial,Bold"&amp;12Construction Vehicle Emissions for the Proposed Modifications to the Tosco CARB 
Phase 3 Project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2">
      <selection activeCell="J13" sqref="J1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ht="18">
      <c r="A1" s="174" t="s">
        <v>166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">
      <c r="A2" s="174" t="s">
        <v>167</v>
      </c>
      <c r="B2" s="174"/>
      <c r="C2" s="174"/>
      <c r="D2" s="174"/>
      <c r="E2" s="174"/>
      <c r="F2" s="174"/>
      <c r="G2" s="174"/>
      <c r="H2" s="174"/>
      <c r="I2" s="174"/>
      <c r="J2" s="174"/>
    </row>
    <row r="3" ht="13.5" thickBot="1"/>
    <row r="4" spans="1:10" ht="39" thickBot="1">
      <c r="A4" s="83" t="s">
        <v>168</v>
      </c>
      <c r="B4" s="19"/>
      <c r="C4" s="121"/>
      <c r="D4" s="85" t="s">
        <v>76</v>
      </c>
      <c r="E4" s="84"/>
      <c r="F4" s="84" t="s">
        <v>169</v>
      </c>
      <c r="G4" s="175" t="s">
        <v>170</v>
      </c>
      <c r="H4" s="175" t="s">
        <v>171</v>
      </c>
      <c r="I4" s="176" t="s">
        <v>172</v>
      </c>
      <c r="J4" s="177" t="s">
        <v>173</v>
      </c>
    </row>
    <row r="5" spans="1:10" ht="12.75">
      <c r="A5" s="120"/>
      <c r="B5" s="36"/>
      <c r="C5" s="36"/>
      <c r="D5" s="178"/>
      <c r="E5" s="36"/>
      <c r="F5" s="36"/>
      <c r="G5" s="36"/>
      <c r="H5" s="36"/>
      <c r="I5" s="36"/>
      <c r="J5" s="179"/>
    </row>
    <row r="6" spans="1:10" ht="12.75">
      <c r="A6" s="98" t="s">
        <v>174</v>
      </c>
      <c r="B6" s="36"/>
      <c r="C6" s="36"/>
      <c r="D6" s="178"/>
      <c r="E6" s="36"/>
      <c r="F6" s="36"/>
      <c r="G6" s="36"/>
      <c r="H6" s="36"/>
      <c r="I6" s="36"/>
      <c r="J6" s="180"/>
    </row>
    <row r="7" spans="1:10" ht="12.75">
      <c r="A7" s="98" t="s">
        <v>175</v>
      </c>
      <c r="B7" s="36"/>
      <c r="D7" s="181">
        <v>11</v>
      </c>
      <c r="E7" s="182"/>
      <c r="F7" s="182" t="s">
        <v>176</v>
      </c>
      <c r="G7" s="182">
        <v>2</v>
      </c>
      <c r="H7" s="182">
        <v>11.5</v>
      </c>
      <c r="I7" s="36">
        <v>0.000856</v>
      </c>
      <c r="J7" s="183">
        <f>D7*G7*H7*I7</f>
        <v>0.216568</v>
      </c>
    </row>
    <row r="8" spans="1:10" ht="12.75">
      <c r="A8" s="98" t="s">
        <v>177</v>
      </c>
      <c r="B8" s="36"/>
      <c r="C8" s="36"/>
      <c r="D8" s="178"/>
      <c r="E8" s="36"/>
      <c r="F8" s="36"/>
      <c r="G8" s="36"/>
      <c r="H8" s="36"/>
      <c r="I8" s="36"/>
      <c r="J8" s="180"/>
    </row>
    <row r="9" spans="1:10" ht="12.75">
      <c r="A9" s="98"/>
      <c r="B9" s="36"/>
      <c r="C9" s="36"/>
      <c r="D9" s="178"/>
      <c r="E9" s="36"/>
      <c r="F9" s="36"/>
      <c r="G9" s="36"/>
      <c r="H9" s="36"/>
      <c r="I9" s="36"/>
      <c r="J9" s="180"/>
    </row>
    <row r="10" spans="1:10" ht="12.75">
      <c r="A10" s="98" t="s">
        <v>178</v>
      </c>
      <c r="B10" s="36"/>
      <c r="C10" s="36"/>
      <c r="D10" s="181">
        <v>2</v>
      </c>
      <c r="E10" s="182"/>
      <c r="F10" s="182" t="s">
        <v>179</v>
      </c>
      <c r="G10" s="182">
        <v>2</v>
      </c>
      <c r="H10" s="182">
        <v>50</v>
      </c>
      <c r="I10" s="36">
        <v>0.0206</v>
      </c>
      <c r="J10" s="183">
        <f>D10*G10*H10*I10</f>
        <v>4.12</v>
      </c>
    </row>
    <row r="11" spans="1:10" ht="12.75">
      <c r="A11" s="98" t="s">
        <v>177</v>
      </c>
      <c r="B11" s="36"/>
      <c r="C11" s="36"/>
      <c r="D11" s="178"/>
      <c r="E11" s="36"/>
      <c r="F11" s="36"/>
      <c r="G11" s="36"/>
      <c r="H11" s="36"/>
      <c r="I11" s="36"/>
      <c r="J11" s="180"/>
    </row>
    <row r="12" spans="1:10" ht="13.5" thickBot="1">
      <c r="A12" s="98"/>
      <c r="B12" s="36"/>
      <c r="C12" s="36"/>
      <c r="D12" s="181" t="s">
        <v>40</v>
      </c>
      <c r="E12" s="182"/>
      <c r="F12" s="182" t="s">
        <v>40</v>
      </c>
      <c r="G12" s="182" t="s">
        <v>40</v>
      </c>
      <c r="H12" s="182" t="s">
        <v>40</v>
      </c>
      <c r="I12" s="36" t="s">
        <v>40</v>
      </c>
      <c r="J12" s="183" t="s">
        <v>40</v>
      </c>
    </row>
    <row r="13" spans="1:10" ht="13.5" thickBot="1">
      <c r="A13" s="96" t="s">
        <v>180</v>
      </c>
      <c r="B13" s="121"/>
      <c r="C13" s="121"/>
      <c r="D13" s="85">
        <f>SUM(D7:D12)</f>
        <v>13</v>
      </c>
      <c r="E13" s="121"/>
      <c r="F13" s="121"/>
      <c r="G13" s="121"/>
      <c r="H13" s="121"/>
      <c r="I13" s="121"/>
      <c r="J13" s="184">
        <f>SUM(J7:J12)</f>
        <v>4.336568</v>
      </c>
    </row>
    <row r="15" ht="12.75">
      <c r="A15" s="39" t="s">
        <v>181</v>
      </c>
    </row>
    <row r="16" spans="1:2" ht="12.75">
      <c r="A16" s="39" t="s">
        <v>192</v>
      </c>
      <c r="B16" s="39"/>
    </row>
    <row r="17" spans="1:2" ht="12.75">
      <c r="A17" s="39" t="s">
        <v>182</v>
      </c>
      <c r="B17" s="39"/>
    </row>
    <row r="18" spans="1:2" ht="12.75">
      <c r="A18" s="39" t="s">
        <v>183</v>
      </c>
      <c r="B18" s="39"/>
    </row>
    <row r="19" spans="1:2" ht="12.75">
      <c r="A19" s="39" t="s">
        <v>184</v>
      </c>
      <c r="B19" s="39"/>
    </row>
    <row r="20" spans="1:2" ht="12.75">
      <c r="A20" s="39"/>
      <c r="B20" s="39"/>
    </row>
    <row r="21" spans="1:2" ht="12.75">
      <c r="A21" s="39" t="s">
        <v>185</v>
      </c>
      <c r="B21" s="39"/>
    </row>
    <row r="22" spans="1:2" ht="12.75">
      <c r="A22" s="39" t="s">
        <v>193</v>
      </c>
      <c r="B22" s="39"/>
    </row>
    <row r="23" ht="12.75">
      <c r="A23" s="39" t="s">
        <v>186</v>
      </c>
    </row>
    <row r="24" ht="12.75">
      <c r="A24" s="39" t="s">
        <v>187</v>
      </c>
    </row>
    <row r="25" ht="12.75">
      <c r="A25" s="39"/>
    </row>
    <row r="26" spans="1:10" ht="12.75">
      <c r="A26" s="39" t="s">
        <v>188</v>
      </c>
      <c r="J26" s="81">
        <f ca="1">(TODAY())</f>
        <v>37245</v>
      </c>
    </row>
  </sheetData>
  <mergeCells count="3">
    <mergeCell ref="A4:B4"/>
    <mergeCell ref="A1:J1"/>
    <mergeCell ref="A2:J2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6">
      <selection activeCell="B25" sqref="B25"/>
    </sheetView>
  </sheetViews>
  <sheetFormatPr defaultColWidth="9.140625" defaultRowHeight="12.75"/>
  <cols>
    <col min="1" max="1" width="13.421875" style="0" customWidth="1"/>
    <col min="2" max="2" width="12.140625" style="0" customWidth="1"/>
    <col min="3" max="3" width="11.57421875" style="0" customWidth="1"/>
    <col min="4" max="4" width="8.57421875" style="0" customWidth="1"/>
    <col min="5" max="5" width="11.28125" style="0" customWidth="1"/>
    <col min="7" max="7" width="8.140625" style="0" customWidth="1"/>
    <col min="8" max="8" width="11.8515625" style="0" customWidth="1"/>
    <col min="10" max="10" width="14.8515625" style="0" customWidth="1"/>
    <col min="11" max="11" width="10.28125" style="0" bestFit="1" customWidth="1"/>
  </cols>
  <sheetData>
    <row r="2" ht="13.5" thickBot="1">
      <c r="A2" s="2" t="s">
        <v>7</v>
      </c>
    </row>
    <row r="3" spans="1:11" ht="30.75" customHeight="1" thickBot="1">
      <c r="A3" s="12" t="s">
        <v>0</v>
      </c>
      <c r="B3" s="13" t="s">
        <v>8</v>
      </c>
      <c r="C3" s="13" t="s">
        <v>10</v>
      </c>
      <c r="D3" s="13" t="s">
        <v>9</v>
      </c>
      <c r="E3" s="13" t="s">
        <v>11</v>
      </c>
      <c r="F3" s="13" t="s">
        <v>12</v>
      </c>
      <c r="G3" s="13" t="s">
        <v>6</v>
      </c>
      <c r="H3" s="13" t="s">
        <v>13</v>
      </c>
      <c r="I3" s="13" t="s">
        <v>4</v>
      </c>
      <c r="J3" s="13" t="s">
        <v>14</v>
      </c>
      <c r="K3" s="14" t="s">
        <v>5</v>
      </c>
    </row>
    <row r="4" spans="1:11" ht="12.75">
      <c r="A4" s="8" t="s">
        <v>1</v>
      </c>
      <c r="B4" s="9">
        <v>0.69</v>
      </c>
      <c r="C4" s="9">
        <v>0.47</v>
      </c>
      <c r="D4" s="8">
        <f>B4*C4</f>
        <v>0.3243</v>
      </c>
      <c r="E4" s="10">
        <f>D4/SUM($D$4:$D$6)</f>
        <v>0.42381076842655513</v>
      </c>
      <c r="F4" s="9">
        <v>72.15</v>
      </c>
      <c r="G4" s="15">
        <f>E4*F4</f>
        <v>30.577946941975956</v>
      </c>
      <c r="H4" s="10">
        <f>G4/SUM($G$4:$G$6)</f>
        <v>0.4223948791502597</v>
      </c>
      <c r="I4" s="11"/>
      <c r="J4" s="11"/>
      <c r="K4" s="8"/>
    </row>
    <row r="5" spans="1:11" ht="12.75">
      <c r="A5" s="3" t="s">
        <v>2</v>
      </c>
      <c r="B5" s="4">
        <v>0.91</v>
      </c>
      <c r="C5" s="4">
        <v>0.47</v>
      </c>
      <c r="D5" s="3">
        <f>B5*C5</f>
        <v>0.42769999999999997</v>
      </c>
      <c r="E5" s="5">
        <f>D5/SUM($D$4:$D$6)</f>
        <v>0.55893883951908</v>
      </c>
      <c r="F5" s="4">
        <v>72.15</v>
      </c>
      <c r="G5" s="7">
        <f>E5*F5</f>
        <v>40.327437271301626</v>
      </c>
      <c r="H5" s="5">
        <f>G5/SUM($G$4:$G$6)</f>
        <v>0.5570715072851252</v>
      </c>
      <c r="I5" s="6"/>
      <c r="J5" s="6"/>
      <c r="K5" s="3"/>
    </row>
    <row r="6" spans="1:11" ht="12.75">
      <c r="A6" s="3" t="s">
        <v>15</v>
      </c>
      <c r="B6" s="4">
        <v>0.22</v>
      </c>
      <c r="C6" s="4">
        <v>0.06</v>
      </c>
      <c r="D6" s="3">
        <f>B6*C6</f>
        <v>0.0132</v>
      </c>
      <c r="E6" s="5">
        <f>D6/SUM($D$4:$D$6)</f>
        <v>0.017250392054364874</v>
      </c>
      <c r="F6" s="4">
        <v>86.17</v>
      </c>
      <c r="G6" s="7">
        <f>E6*F6</f>
        <v>1.4864662833246212</v>
      </c>
      <c r="H6" s="5">
        <f>G6/SUM($G$4:$G$6)</f>
        <v>0.020533613564615125</v>
      </c>
      <c r="I6" s="7">
        <f>16.2*H6*365</f>
        <v>121.41525700756922</v>
      </c>
      <c r="J6" s="7">
        <f>13.9*365*H6</f>
        <v>104.17728842007483</v>
      </c>
      <c r="K6" s="7">
        <f>I6+J6</f>
        <v>225.59254542764404</v>
      </c>
    </row>
    <row r="8" ht="14.25">
      <c r="A8" t="s">
        <v>3</v>
      </c>
    </row>
    <row r="11" ht="12.75">
      <c r="A11" s="2" t="s">
        <v>16</v>
      </c>
    </row>
    <row r="13" ht="12.75">
      <c r="A13" t="s">
        <v>28</v>
      </c>
    </row>
    <row r="14" ht="12.75">
      <c r="A14" t="s">
        <v>17</v>
      </c>
    </row>
    <row r="15" spans="1:3" ht="14.25">
      <c r="A15" s="16" t="s">
        <v>18</v>
      </c>
      <c r="B15">
        <v>60.49</v>
      </c>
      <c r="C15" s="17" t="s">
        <v>19</v>
      </c>
    </row>
    <row r="16" ht="12.75">
      <c r="A16" t="s">
        <v>21</v>
      </c>
    </row>
    <row r="17" spans="1:2" ht="12.75">
      <c r="A17" s="16" t="s">
        <v>20</v>
      </c>
      <c r="B17">
        <v>0.46</v>
      </c>
    </row>
    <row r="18" ht="12.75">
      <c r="A18" t="s">
        <v>22</v>
      </c>
    </row>
    <row r="19" spans="1:2" ht="12.75">
      <c r="A19" s="16" t="s">
        <v>23</v>
      </c>
      <c r="B19">
        <v>7000</v>
      </c>
    </row>
    <row r="20" spans="1:2" ht="12.75">
      <c r="A20" s="16" t="s">
        <v>24</v>
      </c>
      <c r="B20">
        <v>1</v>
      </c>
    </row>
    <row r="22" ht="12.75">
      <c r="A22" t="s">
        <v>25</v>
      </c>
    </row>
    <row r="24" spans="2:4" ht="12.75">
      <c r="B24" s="16" t="s">
        <v>26</v>
      </c>
      <c r="C24" s="1">
        <f>K6/2000*B15*B17*B20/B19</f>
        <v>0.0004483716295387405</v>
      </c>
      <c r="D24" t="s">
        <v>27</v>
      </c>
    </row>
  </sheetData>
  <printOptions/>
  <pageMargins left="0.75" right="0.75" top="1" bottom="1" header="0.5" footer="0.5"/>
  <pageSetup horizontalDpi="400" verticalDpi="400" orientation="landscape" r:id="rId1"/>
  <headerFooter alignWithMargins="0">
    <oddHeader>&amp;C&amp;"Arial,Bold"TOSCO EIR ADDENDUM
TAC EMISSIONS CALCULATIONS AND HEALTH RISK ANALYSIS</oddHeader>
    <oddFooter>&amp;L&amp;8m:\mrb\2021\Addendum HRA.xls&amp;R&amp;8&amp;D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C1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3" ht="13.5" thickBot="1">
      <c r="A1" s="18" t="s">
        <v>29</v>
      </c>
      <c r="B1" s="19"/>
      <c r="C1" s="20"/>
    </row>
    <row r="2" spans="1:3" ht="12.75">
      <c r="A2" s="3" t="s">
        <v>30</v>
      </c>
      <c r="B2" s="3">
        <v>9125000</v>
      </c>
      <c r="C2" s="3" t="s">
        <v>31</v>
      </c>
    </row>
    <row r="3" spans="1:3" ht="12.75">
      <c r="A3" s="3" t="s">
        <v>32</v>
      </c>
      <c r="B3" s="21">
        <v>25000</v>
      </c>
      <c r="C3" s="3" t="s">
        <v>33</v>
      </c>
    </row>
    <row r="4" spans="1:3" ht="12.75">
      <c r="A4" s="3" t="s">
        <v>34</v>
      </c>
      <c r="B4" s="3">
        <f>+B2/B3</f>
        <v>365</v>
      </c>
      <c r="C4" s="3" t="s">
        <v>35</v>
      </c>
    </row>
    <row r="5" spans="1:3" ht="12.75">
      <c r="A5" s="3" t="s">
        <v>36</v>
      </c>
      <c r="B5" s="3">
        <v>34.25</v>
      </c>
      <c r="C5" s="3" t="s">
        <v>37</v>
      </c>
    </row>
    <row r="6" spans="1:4" ht="12.75">
      <c r="A6" s="3" t="s">
        <v>38</v>
      </c>
      <c r="B6" s="3">
        <f>+B4*B5</f>
        <v>12501.25</v>
      </c>
      <c r="C6" s="3" t="s">
        <v>39</v>
      </c>
      <c r="D6" t="s">
        <v>40</v>
      </c>
    </row>
    <row r="7" spans="1:4" ht="12.75">
      <c r="A7" s="3" t="s">
        <v>41</v>
      </c>
      <c r="B7" s="3">
        <f>+B2*5/2000</f>
        <v>22812.5</v>
      </c>
      <c r="C7" s="3" t="s">
        <v>39</v>
      </c>
      <c r="D7" t="s">
        <v>40</v>
      </c>
    </row>
    <row r="8" spans="1:3" ht="13.5" thickBot="1">
      <c r="A8" s="22" t="s">
        <v>42</v>
      </c>
      <c r="B8" s="22">
        <f>+B7+B6</f>
        <v>35313.75</v>
      </c>
      <c r="C8" s="22" t="s">
        <v>43</v>
      </c>
    </row>
    <row r="9" spans="1:3" ht="13.5" thickBot="1">
      <c r="A9" s="18" t="s">
        <v>44</v>
      </c>
      <c r="B9" s="23"/>
      <c r="C9" s="24"/>
    </row>
    <row r="10" spans="1:3" ht="24.75" customHeight="1">
      <c r="A10" s="25" t="s">
        <v>45</v>
      </c>
      <c r="B10" s="26">
        <v>160</v>
      </c>
      <c r="C10" s="26" t="s">
        <v>46</v>
      </c>
    </row>
    <row r="11" spans="1:3" ht="12.75">
      <c r="A11" s="3" t="s">
        <v>47</v>
      </c>
      <c r="B11" s="3">
        <f>+B10*B8</f>
        <v>5650200</v>
      </c>
      <c r="C11" s="3" t="s">
        <v>48</v>
      </c>
    </row>
    <row r="12" spans="1:3" ht="12.75">
      <c r="A12" s="3" t="s">
        <v>49</v>
      </c>
      <c r="B12" s="3">
        <v>401</v>
      </c>
      <c r="C12" s="3" t="s">
        <v>50</v>
      </c>
    </row>
    <row r="13" spans="1:3" ht="12.75">
      <c r="A13" s="3" t="s">
        <v>51</v>
      </c>
      <c r="B13" s="3">
        <f>+B11/B12</f>
        <v>14090.274314214465</v>
      </c>
      <c r="C13" s="3" t="s">
        <v>52</v>
      </c>
    </row>
    <row r="14" spans="1:3" ht="12.75">
      <c r="A14" s="3"/>
      <c r="B14" s="3"/>
      <c r="C14" s="3"/>
    </row>
    <row r="15" spans="1:3" ht="25.5">
      <c r="A15" s="27" t="s">
        <v>53</v>
      </c>
      <c r="B15" s="3">
        <v>70</v>
      </c>
      <c r="C15" s="3" t="s">
        <v>46</v>
      </c>
    </row>
    <row r="16" spans="1:3" ht="12.75">
      <c r="A16" s="3" t="s">
        <v>54</v>
      </c>
      <c r="B16" s="3">
        <f>+B8*B15</f>
        <v>2471962.5</v>
      </c>
      <c r="C16" s="3" t="s">
        <v>48</v>
      </c>
    </row>
    <row r="17" spans="1:3" ht="12.75">
      <c r="A17" s="3" t="s">
        <v>49</v>
      </c>
      <c r="B17" s="3">
        <v>401</v>
      </c>
      <c r="C17" s="3" t="s">
        <v>50</v>
      </c>
    </row>
    <row r="18" spans="1:3" ht="12.75">
      <c r="A18" s="3" t="s">
        <v>51</v>
      </c>
      <c r="B18" s="3">
        <f>+B16/B17</f>
        <v>6164.495012468828</v>
      </c>
      <c r="C18" s="3" t="s">
        <v>52</v>
      </c>
    </row>
    <row r="20" ht="13.5" thickBot="1"/>
    <row r="21" spans="1:6" ht="15" thickBot="1">
      <c r="A21" s="28" t="s">
        <v>70</v>
      </c>
      <c r="B21" s="29" t="s">
        <v>55</v>
      </c>
      <c r="C21" s="29" t="s">
        <v>56</v>
      </c>
      <c r="D21" s="29" t="s">
        <v>57</v>
      </c>
      <c r="E21" s="29" t="s">
        <v>58</v>
      </c>
      <c r="F21" s="29" t="s">
        <v>59</v>
      </c>
    </row>
    <row r="22" spans="1:6" ht="12.75">
      <c r="A22" s="26" t="s">
        <v>60</v>
      </c>
      <c r="B22" s="26">
        <v>26.6</v>
      </c>
      <c r="C22" s="26">
        <v>10</v>
      </c>
      <c r="D22" s="26">
        <v>270</v>
      </c>
      <c r="E22" s="26">
        <v>17</v>
      </c>
      <c r="F22" s="26">
        <v>6.7</v>
      </c>
    </row>
    <row r="23" spans="1:6" ht="12.75">
      <c r="A23" s="3" t="s">
        <v>61</v>
      </c>
      <c r="B23" s="30">
        <f>+B22/453.6</f>
        <v>0.05864197530864197</v>
      </c>
      <c r="C23" s="30">
        <f>+C22/453.6</f>
        <v>0.02204585537918871</v>
      </c>
      <c r="D23" s="30">
        <f>+D22/453.6</f>
        <v>0.5952380952380952</v>
      </c>
      <c r="E23" s="30">
        <f>+E22/453.6</f>
        <v>0.03747795414462081</v>
      </c>
      <c r="F23" s="30">
        <f>+F22/453.6</f>
        <v>0.014770723104056437</v>
      </c>
    </row>
    <row r="24" ht="13.5" thickBot="1"/>
    <row r="25" spans="1:6" ht="13.5" thickBot="1">
      <c r="A25" s="31" t="s">
        <v>62</v>
      </c>
      <c r="B25" s="31" t="s">
        <v>63</v>
      </c>
      <c r="C25" s="31"/>
      <c r="D25" s="31"/>
      <c r="E25" s="31"/>
      <c r="F25" s="31"/>
    </row>
    <row r="26" spans="1:6" ht="13.5" thickBot="1">
      <c r="A26" s="32"/>
      <c r="B26" s="29" t="s">
        <v>55</v>
      </c>
      <c r="C26" s="29" t="s">
        <v>56</v>
      </c>
      <c r="D26" s="29" t="s">
        <v>57</v>
      </c>
      <c r="E26" s="29" t="s">
        <v>58</v>
      </c>
      <c r="F26" s="29" t="s">
        <v>59</v>
      </c>
    </row>
    <row r="27" spans="1:6" ht="12.75">
      <c r="A27" s="33" t="s">
        <v>64</v>
      </c>
      <c r="B27" s="34">
        <f>+B18*B23</f>
        <v>361.4981643114436</v>
      </c>
      <c r="C27" s="34">
        <f>+B18*C23</f>
        <v>135.9015655306179</v>
      </c>
      <c r="D27" s="34">
        <f>+B18*D23</f>
        <v>3669.342269326683</v>
      </c>
      <c r="E27" s="34">
        <f>+B18*E23</f>
        <v>231.0326614020504</v>
      </c>
      <c r="F27" s="34">
        <f>+B18*F23</f>
        <v>91.05404890551398</v>
      </c>
    </row>
    <row r="28" spans="1:6" ht="12.75">
      <c r="A28" s="3" t="s">
        <v>65</v>
      </c>
      <c r="B28" s="35">
        <f>+B27/365</f>
        <v>0.9904059296203934</v>
      </c>
      <c r="C28" s="35">
        <f>+C27/365</f>
        <v>0.3723330562482682</v>
      </c>
      <c r="D28" s="35">
        <f>+D27/365</f>
        <v>10.052992518703242</v>
      </c>
      <c r="E28" s="35">
        <f>+E27/365</f>
        <v>0.6329661956220559</v>
      </c>
      <c r="F28" s="35">
        <f>+F27/365</f>
        <v>0.24946314768633968</v>
      </c>
    </row>
    <row r="29" spans="1:6" ht="12.75">
      <c r="A29" s="3"/>
      <c r="B29" s="3"/>
      <c r="C29" s="3"/>
      <c r="D29" s="3"/>
      <c r="E29" s="3"/>
      <c r="F29" s="3"/>
    </row>
    <row r="30" spans="1:6" ht="12.75">
      <c r="A30" s="3" t="s">
        <v>66</v>
      </c>
      <c r="B30" s="35">
        <f>+B13*B23</f>
        <v>826.2815184261568</v>
      </c>
      <c r="C30" s="35">
        <f>+B13*C23</f>
        <v>310.6321497842695</v>
      </c>
      <c r="D30" s="35">
        <f>+B13*D23</f>
        <v>8387.068044175276</v>
      </c>
      <c r="E30" s="35">
        <f>+B13*E23</f>
        <v>528.0746546332581</v>
      </c>
      <c r="F30" s="35">
        <f>+B13*F23</f>
        <v>208.12354035546056</v>
      </c>
    </row>
    <row r="31" spans="1:6" ht="12.75">
      <c r="A31" s="3" t="s">
        <v>67</v>
      </c>
      <c r="B31" s="35">
        <f>+B30/365</f>
        <v>2.263784981989471</v>
      </c>
      <c r="C31" s="35">
        <f>+C30/365</f>
        <v>0.8510469857103273</v>
      </c>
      <c r="D31" s="35">
        <f>+D30/365</f>
        <v>22.978268614178837</v>
      </c>
      <c r="E31" s="35">
        <f>+E30/365</f>
        <v>1.4467798757075565</v>
      </c>
      <c r="F31" s="35">
        <f>+F30/365</f>
        <v>0.5702014804259193</v>
      </c>
    </row>
    <row r="32" spans="1:6" ht="12.75">
      <c r="A32" s="36"/>
      <c r="B32" s="37"/>
      <c r="C32" s="37"/>
      <c r="D32" s="37"/>
      <c r="E32" s="37"/>
      <c r="F32" s="37"/>
    </row>
    <row r="33" spans="1:6" ht="12.75">
      <c r="A33" s="38" t="s">
        <v>68</v>
      </c>
      <c r="B33" s="37"/>
      <c r="C33" s="37"/>
      <c r="D33" s="37"/>
      <c r="E33" s="37"/>
      <c r="F33" s="37"/>
    </row>
    <row r="35" ht="12.75">
      <c r="A35" s="39" t="s">
        <v>69</v>
      </c>
    </row>
  </sheetData>
  <mergeCells count="4">
    <mergeCell ref="B25:F25"/>
    <mergeCell ref="A25:A26"/>
    <mergeCell ref="A1:C1"/>
    <mergeCell ref="A9:C9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&amp;C&amp;"Arial,Bold"RAIL CAR EMISSIONS FOR THE PROPOSED MODIFICATIONS
TO THE TOSCO CARB PHASE 3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Marcia Baverman</cp:lastModifiedBy>
  <cp:lastPrinted>2001-12-20T21:43:17Z</cp:lastPrinted>
  <dcterms:created xsi:type="dcterms:W3CDTF">2001-10-17T19:23:36Z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