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Criteria Pollu. Emissions" sheetId="1" r:id="rId1"/>
    <sheet name="Air Toxics Emissions" sheetId="2" r:id="rId2"/>
    <sheet name="Air Toxics Grams per second" sheetId="3" r:id="rId3"/>
    <sheet name="EF Criteria " sheetId="4" r:id="rId4"/>
    <sheet name="stack" sheetId="5" r:id="rId5"/>
    <sheet name="Air Toxics EF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<sst xmlns="http://schemas.openxmlformats.org/spreadsheetml/2006/main" count="466" uniqueCount="262">
  <si>
    <t>Maximum Firing Rate = 47,300 kW X 8250 Btu/kW-hr</t>
  </si>
  <si>
    <t>MFR</t>
  </si>
  <si>
    <t>Size</t>
  </si>
  <si>
    <t>Factor</t>
  </si>
  <si>
    <t>LHV</t>
  </si>
  <si>
    <t>HHV</t>
  </si>
  <si>
    <t>(Btu/hr)</t>
  </si>
  <si>
    <t>(kW)</t>
  </si>
  <si>
    <t>(Btu/kW-hr)</t>
  </si>
  <si>
    <t>(Btu/scf)</t>
  </si>
  <si>
    <t>Pollutant</t>
  </si>
  <si>
    <t>EL</t>
  </si>
  <si>
    <t>CO</t>
  </si>
  <si>
    <t>EF</t>
  </si>
  <si>
    <t>(lb/MMscf)</t>
  </si>
  <si>
    <t>(lb/MMBtu)</t>
  </si>
  <si>
    <r>
      <t>NH</t>
    </r>
    <r>
      <rPr>
        <vertAlign val="subscript"/>
        <sz val="10"/>
        <rFont val="Arial"/>
        <family val="2"/>
      </rPr>
      <t>3</t>
    </r>
  </si>
  <si>
    <r>
      <t>VOC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</si>
  <si>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NOx (NO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</si>
  <si>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2.  The heating input required is 8250 Btu/kW-hr (LHV), LM6000 GTG specifications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</si>
  <si>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t>(ppmv)</t>
  </si>
  <si>
    <r>
      <t>Convert Emission Limits (EL) from ppmv to lb/MMBtu for NOx, CO, VOC, and 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.</t>
    </r>
  </si>
  <si>
    <r>
      <t>VOC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</si>
  <si>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t>Emission</t>
  </si>
  <si>
    <t xml:space="preserve">4.  Emission limits are 5 ppmv for oxides of nitrogen (NOx), 6 ppmv for carbon monoxide (CO), </t>
  </si>
  <si>
    <r>
      <t>5.  Emission limits are assumed to be at 15%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</si>
  <si>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>Maximum Annual Fuel Consumption = Maximum Hourly Rate x 8760 hours/yr</t>
  </si>
  <si>
    <t>(It is assumed that the turbine operates continuously at full capacity throughout the year.)</t>
  </si>
  <si>
    <t>Maximum Annual Fuel Consumption =</t>
  </si>
  <si>
    <t>Sulfur</t>
  </si>
  <si>
    <t>(wt%)</t>
  </si>
  <si>
    <t>NA</t>
  </si>
  <si>
    <t>(4) Emission factor in lb/MMBtu is from Ap-42, Table 3.1-2a.</t>
  </si>
  <si>
    <t xml:space="preserve">(5) Emission Factor in lb/MMBtu is from AP-42, Table 3.1-2a.  </t>
  </si>
  <si>
    <t>Convert Emission Limit (EL) in lb/MMBtu to Emission Factor in lb/MMscf, EF = EL x HHV (Btu/scf)</t>
  </si>
  <si>
    <r>
      <t>Emission Factors for PM10 and Sulfur Dioxide (SO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</si>
  <si>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0.94S</t>
  </si>
  <si>
    <t>Device ID Number:</t>
  </si>
  <si>
    <t>Process Description:</t>
  </si>
  <si>
    <t/>
  </si>
  <si>
    <t>No. of Devices:</t>
  </si>
  <si>
    <t>Process Equipment Description:</t>
  </si>
  <si>
    <t>Fuel Type:</t>
  </si>
  <si>
    <t>Natural Gas</t>
  </si>
  <si>
    <t>Process Units:</t>
  </si>
  <si>
    <t>MMCF</t>
  </si>
  <si>
    <t>Control Equipment:</t>
  </si>
  <si>
    <t>Selective Catalytic Reduction and CO Catalyst</t>
  </si>
  <si>
    <t>Yearly Emis. Est. Equation:</t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</si>
  <si>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x </t>
    </r>
    <r>
      <rPr>
        <sz val="10"/>
        <rFont val="Arial"/>
        <family val="0"/>
      </rPr>
      <t>EF</t>
    </r>
  </si>
  <si>
    <t>Max Hourly Emis. Est. Equation:</t>
  </si>
  <si>
    <r>
      <t>F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x </t>
    </r>
    <r>
      <rPr>
        <sz val="10"/>
        <rFont val="Arial"/>
        <family val="0"/>
      </rPr>
      <t>EF</t>
    </r>
  </si>
  <si>
    <t xml:space="preserve">Parameter Symbols/Names </t>
  </si>
  <si>
    <t>Values</t>
  </si>
  <si>
    <t>lbs/MMCF</t>
  </si>
  <si>
    <t>Process Operation Schedule</t>
  </si>
  <si>
    <t>hours/day</t>
  </si>
  <si>
    <t>days/week</t>
  </si>
  <si>
    <t>weeks/year</t>
  </si>
  <si>
    <t>Annual</t>
  </si>
  <si>
    <t xml:space="preserve">Species Name </t>
  </si>
  <si>
    <t>Emissions</t>
  </si>
  <si>
    <t>(lbs/hr)</t>
  </si>
  <si>
    <t>(lbs/yr)</t>
  </si>
  <si>
    <t>(tons/yr)</t>
  </si>
  <si>
    <t>NOx</t>
  </si>
  <si>
    <t>Criteria</t>
  </si>
  <si>
    <t>VOC</t>
  </si>
  <si>
    <t>GE LM6000, Sprint 47.3 MW</t>
  </si>
  <si>
    <t>See below</t>
  </si>
  <si>
    <t>EF = Emission Factor</t>
  </si>
  <si>
    <t>PM10</t>
  </si>
  <si>
    <r>
      <t>SO</t>
    </r>
    <r>
      <rPr>
        <b/>
        <vertAlign val="subscript"/>
        <sz val="10"/>
        <rFont val="Arial"/>
        <family val="2"/>
      </rPr>
      <t>2</t>
    </r>
  </si>
  <si>
    <t>Daily</t>
  </si>
  <si>
    <r>
      <t>NH</t>
    </r>
    <r>
      <rPr>
        <b/>
        <vertAlign val="subscript"/>
        <sz val="10"/>
        <rFont val="Arial"/>
        <family val="2"/>
      </rPr>
      <t>3</t>
    </r>
  </si>
  <si>
    <r>
      <t>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0"/>
      </rPr>
      <t xml:space="preserve"> = Total Yearly Amount of Fuel Burned (one CT)</t>
    </r>
  </si>
  <si>
    <r>
      <t>F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0"/>
      </rPr>
      <t xml:space="preserve"> = Maximum Hourly Amount of Fuel Burned (one CT)</t>
    </r>
  </si>
  <si>
    <t>Air Toxic</t>
  </si>
  <si>
    <t>CAS Number</t>
  </si>
  <si>
    <t>Ammonia</t>
  </si>
  <si>
    <t xml:space="preserve">     Rule 1401 (Amended August 2000).</t>
  </si>
  <si>
    <t xml:space="preserve">     CARB to Parsons Engineering Science on 10/12/00.</t>
  </si>
  <si>
    <t xml:space="preserve">2.  Mean Emission factors for all the air toxics except for ammonia are from the latest California Air  </t>
  </si>
  <si>
    <t xml:space="preserve">     Resources Board's (CARB) air toxics emission data base.  The emission factors were provided by  </t>
  </si>
  <si>
    <t xml:space="preserve">3. The emissions are quantified for only those air toxics which are listed in Table 1 of the SCAQMD's </t>
  </si>
  <si>
    <t>PAH</t>
  </si>
  <si>
    <t>Acetaldehyde</t>
  </si>
  <si>
    <t>Acrolein</t>
  </si>
  <si>
    <t>Benzene</t>
  </si>
  <si>
    <t>1,3-Butadiene</t>
  </si>
  <si>
    <t>SVOC</t>
  </si>
  <si>
    <t>Ethylbenzene</t>
  </si>
  <si>
    <t>Formaldehyde</t>
  </si>
  <si>
    <t>Hexane</t>
  </si>
  <si>
    <t>Propylene</t>
  </si>
  <si>
    <t>Propylene Oxide</t>
  </si>
  <si>
    <t>Toluene</t>
  </si>
  <si>
    <t>Xylene(Total)</t>
  </si>
  <si>
    <t>CAS No.</t>
  </si>
  <si>
    <t>Rule 1401</t>
  </si>
  <si>
    <t>Listed Air</t>
  </si>
  <si>
    <t>Category</t>
  </si>
  <si>
    <t xml:space="preserve">Substance </t>
  </si>
  <si>
    <t>Toxic (Y/N)</t>
  </si>
  <si>
    <t xml:space="preserve">Air Toxics Emission factors are from California Air Resources Board's latest air toxics data </t>
  </si>
  <si>
    <t xml:space="preserve">base.  These emission factors are for combustion turbines equipped with SCR and CO   </t>
  </si>
  <si>
    <t>Y</t>
  </si>
  <si>
    <t>2-Chloronaphthalene</t>
  </si>
  <si>
    <t>N</t>
  </si>
  <si>
    <t>2-Methylnaphthalene</t>
  </si>
  <si>
    <t>Perylene</t>
  </si>
  <si>
    <t>WT% S</t>
  </si>
  <si>
    <t>MW of S</t>
  </si>
  <si>
    <r>
      <t>PM10</t>
    </r>
    <r>
      <rPr>
        <vertAlign val="superscript"/>
        <sz val="10"/>
        <rFont val="Arial"/>
        <family val="2"/>
      </rPr>
      <t xml:space="preserve"> (4)</t>
    </r>
  </si>
  <si>
    <r>
      <t>SO</t>
    </r>
    <r>
      <rPr>
        <vertAlign val="subscript"/>
        <sz val="10"/>
        <rFont val="Arial"/>
        <family val="2"/>
      </rPr>
      <t xml:space="preserve">2  </t>
    </r>
    <r>
      <rPr>
        <vertAlign val="superscript"/>
        <sz val="10"/>
        <rFont val="Arial"/>
        <family val="2"/>
      </rPr>
      <t>(5)</t>
    </r>
  </si>
  <si>
    <t>Sulfur in Natural Gas (S)</t>
  </si>
  <si>
    <r>
      <t>WT% S = 100 x S in ppmv in natural gas x MW of S /(MW of Natural Gas x 10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) </t>
    </r>
  </si>
  <si>
    <t>water-steam injection</t>
  </si>
  <si>
    <t xml:space="preserve">Selective Catalytic Reduction, CO Catalyst, and  </t>
  </si>
  <si>
    <t>Maximum Hourly Fuel Consumption Rate (MMcf) = MFR/(LHV x 1,000,000)</t>
  </si>
  <si>
    <t xml:space="preserve">Maximum Hourly Fuel Consumption Rate (MMcf) = </t>
  </si>
  <si>
    <t>MMcf/yr</t>
  </si>
  <si>
    <t>MMcf/hr</t>
  </si>
  <si>
    <r>
      <t>EF = Emission Factor</t>
    </r>
    <r>
      <rPr>
        <b/>
        <vertAlign val="superscript"/>
        <sz val="10"/>
        <rFont val="Arial"/>
        <family val="2"/>
      </rPr>
      <t>2,3</t>
    </r>
  </si>
  <si>
    <t>(lb/lb-mole)</t>
  </si>
  <si>
    <t>Conc.</t>
  </si>
  <si>
    <t>(DSCF/MMBtu)</t>
  </si>
  <si>
    <t>Fuel</t>
  </si>
  <si>
    <t>Oxygen</t>
  </si>
  <si>
    <t>(%)</t>
  </si>
  <si>
    <t>Exhaust Vol</t>
  </si>
  <si>
    <t>MW</t>
  </si>
  <si>
    <t>(MMSCFH)</t>
  </si>
  <si>
    <r>
      <t>1.  The new combustion turbine (CT) is GE LM6000 Sprint 47.3 MW (47,300 kW) turbine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</si>
  <si>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r>
      <t xml:space="preserve">3.  The CT will use natural gas with a HHV of 1050 Btu/scf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>.</t>
    </r>
  </si>
  <si>
    <t>Calculate Maximum Firing Rate (MFR) for the CT in Btu/hr</t>
  </si>
  <si>
    <t>Combustion Turbine #1</t>
  </si>
  <si>
    <t>DWP VALLEY STATION -- CRITERIA POLLUTANT EMISSIONS</t>
  </si>
  <si>
    <t>Natural Gas Use by the Combustion Turbine</t>
  </si>
  <si>
    <t>Acenaphthene (PAH)</t>
  </si>
  <si>
    <t>Acenaphthylene (PAH)</t>
  </si>
  <si>
    <t>Benz(a)anthracene (PAH)</t>
  </si>
  <si>
    <t>Benzo(a)pyrene (PAH)</t>
  </si>
  <si>
    <t>Benzo(b)fluoranthene (PAH)</t>
  </si>
  <si>
    <t>Benzo(e)pyrene (PAH)</t>
  </si>
  <si>
    <t>Benzo(g,h,i)perylene (PAH)</t>
  </si>
  <si>
    <t>Benzo(k)fluoranthene (PAH)</t>
  </si>
  <si>
    <t>Chrysene (PAH)</t>
  </si>
  <si>
    <t>Dibenz(a,h)anthracene (PAH)</t>
  </si>
  <si>
    <t>Fluoranthene (PAH)</t>
  </si>
  <si>
    <t>Fluorene (PAH)</t>
  </si>
  <si>
    <t>Indeno(1,2,3-cd)pyrene (PAH)</t>
  </si>
  <si>
    <t>Pyrene (PAH)</t>
  </si>
  <si>
    <r>
      <t xml:space="preserve">EL (lbs/MMBtu) = </t>
    </r>
    <r>
      <rPr>
        <b/>
        <u val="single"/>
        <sz val="10"/>
        <rFont val="Arial"/>
        <family val="2"/>
      </rPr>
      <t xml:space="preserve">Exhaust Volume x Concentration x MW of Pollutant </t>
    </r>
    <r>
      <rPr>
        <b/>
        <u val="single"/>
        <vertAlign val="superscript"/>
        <sz val="10"/>
        <rFont val="Arial"/>
        <family val="2"/>
      </rPr>
      <t>(3)</t>
    </r>
  </si>
  <si>
    <t>1.  One new combustion turbine will be installed at the Valley facility.</t>
  </si>
  <si>
    <t>1,000,000 x 379</t>
  </si>
  <si>
    <t>(3) Taken from SCAQMD Title V Technical Guidance Manual, page A-20, 1998.</t>
  </si>
  <si>
    <t>Naphthalene (PAH)</t>
  </si>
  <si>
    <t>(lbs/day)</t>
  </si>
  <si>
    <r>
      <t>MW of Natural Gas</t>
    </r>
    <r>
      <rPr>
        <b/>
        <vertAlign val="superscript"/>
        <sz val="10"/>
        <rFont val="Arial"/>
        <family val="2"/>
      </rPr>
      <t xml:space="preserve"> (2)</t>
    </r>
  </si>
  <si>
    <r>
      <t xml:space="preserve">1 </t>
    </r>
    <r>
      <rPr>
        <vertAlign val="superscript"/>
        <sz val="10"/>
        <rFont val="Arial"/>
        <family val="2"/>
      </rPr>
      <t>(1)</t>
    </r>
  </si>
  <si>
    <t>Calculate Molecular Weight of Natural Gas</t>
  </si>
  <si>
    <t>Compound</t>
  </si>
  <si>
    <t>Weighted MW</t>
  </si>
  <si>
    <t>methane</t>
  </si>
  <si>
    <t>ethane</t>
  </si>
  <si>
    <t>propane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</si>
  <si>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</si>
  <si>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</si>
  <si>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 xml:space="preserve">S in ppmv </t>
    </r>
    <r>
      <rPr>
        <b/>
        <vertAlign val="superscript"/>
        <sz val="10"/>
        <rFont val="Arial"/>
        <family val="2"/>
      </rPr>
      <t>(2)</t>
    </r>
  </si>
  <si>
    <r>
      <t>Mole%</t>
    </r>
    <r>
      <rPr>
        <b/>
        <vertAlign val="superscript"/>
        <sz val="10"/>
        <rFont val="Arial"/>
        <family val="2"/>
      </rPr>
      <t xml:space="preserve">  (2)</t>
    </r>
  </si>
  <si>
    <t>Hourly Max</t>
  </si>
  <si>
    <t>Anthracene (PAH)</t>
  </si>
  <si>
    <r>
      <t xml:space="preserve">     2 ppmv for volatile organic compounds (VOC), and 5 ppmv for ammonia (NH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(6)</t>
    </r>
    <r>
      <rPr>
        <sz val="10"/>
        <rFont val="Arial"/>
        <family val="2"/>
      </rPr>
      <t>.</t>
    </r>
  </si>
  <si>
    <r>
      <t>6. The CT will be provided with SCR, CO Catalyst, and water-steam injection.</t>
    </r>
    <r>
      <rPr>
        <vertAlign val="superscript"/>
        <sz val="10"/>
        <rFont val="Arial"/>
        <family val="2"/>
      </rPr>
      <t>(1)</t>
    </r>
  </si>
  <si>
    <r>
      <t>Exhaust Volume (DSCF/MMBtu) = 8710 DSCF/MMBtu x 20.9/(20.9 -%O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 </t>
    </r>
    <r>
      <rPr>
        <b/>
        <vertAlign val="superscript"/>
        <sz val="10"/>
        <rFont val="Arial"/>
        <family val="2"/>
      </rPr>
      <t>(7)</t>
    </r>
  </si>
  <si>
    <t>(1)  Specification provided by LA DWP from Request for Proposal dated September 25, 2000 and</t>
  </si>
  <si>
    <t xml:space="preserve">      and S &amp; S Energy Products' Specifications sheet.</t>
  </si>
  <si>
    <t>(2)  SCR Bid specification (no. 9628) from LA DWP.  Natural gas LHV calculated to be 953 Btu/scf.</t>
  </si>
  <si>
    <t>(6) Specifications from LA DWP (Generation - 2000 Project Overview)</t>
  </si>
  <si>
    <t>(7) EPA Method 19, 40 CFR Part 60.</t>
  </si>
  <si>
    <t>Phenanthrene (PAH)</t>
  </si>
  <si>
    <t>(grams/sec)</t>
  </si>
  <si>
    <t>(grams/second)</t>
  </si>
  <si>
    <t>DWP VALLEY STATION -- AIR TOXICS EMISSIONS</t>
  </si>
  <si>
    <t>DEVELOPMENT OF CRITERIA POLLUTANT EMISSON FACTORS</t>
  </si>
  <si>
    <t>FOR COMBUSTION TURBINE AT THE VALLEY PLANT</t>
  </si>
  <si>
    <t>(Natural Gas Use by the Combustion Turbine)</t>
  </si>
  <si>
    <t>CARB AIR TOXICS EMISSION FACTORS</t>
  </si>
  <si>
    <t>COMBUSTION TURBINES -- NATURAL GAS</t>
  </si>
  <si>
    <t>Nand Tel. No. 916/322-7673).</t>
  </si>
  <si>
    <t>Mean Emission</t>
  </si>
  <si>
    <t>(lbs/MMSCF)</t>
  </si>
  <si>
    <t>catalysts.  The data were provided by CARB on 10/12/00 (fax from Kirk Rosenkranz to Krishna</t>
  </si>
  <si>
    <t xml:space="preserve">      Maximum value for sulfur in natural gas selected.</t>
  </si>
  <si>
    <t>MMSCF</t>
  </si>
  <si>
    <t>lbs/MMSCF</t>
  </si>
  <si>
    <t>DEVELOPMENT OF THE STACK GAS FLOW RATE</t>
  </si>
  <si>
    <t>FOR THE COMBUSTION TURBINE AT THE VALLEY PLANT</t>
  </si>
  <si>
    <r>
      <t xml:space="preserve">1.  The Valley Plant will have one new Combustion Turbine with a capacity of 47.3 mW. </t>
    </r>
    <r>
      <rPr>
        <vertAlign val="superscript"/>
        <sz val="10"/>
        <rFont val="Arial"/>
        <family val="2"/>
      </rPr>
      <t>(1)</t>
    </r>
  </si>
  <si>
    <t xml:space="preserve">2.  The stack gas flow rate for the CT ranges from 929,950 lbs/hr (summer: 854,950 + 75,000) to </t>
  </si>
  <si>
    <r>
      <t xml:space="preserve">     1,054,800 lbs/hr (winter). </t>
    </r>
    <r>
      <rPr>
        <vertAlign val="superscript"/>
        <sz val="10"/>
        <rFont val="Arial"/>
        <family val="2"/>
      </rPr>
      <t>(2)</t>
    </r>
  </si>
  <si>
    <r>
      <t xml:space="preserve">3.  The stack gas temperature will average 824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F. </t>
    </r>
    <r>
      <rPr>
        <vertAlign val="superscript"/>
        <sz val="10"/>
        <rFont val="Arial"/>
        <family val="2"/>
      </rPr>
      <t>(2)</t>
    </r>
  </si>
  <si>
    <t>5.  The assumed stack gas molecular weight is 28.</t>
  </si>
  <si>
    <r>
      <t xml:space="preserve">6.  Standard temperature is assumed to be 60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F.</t>
    </r>
  </si>
  <si>
    <t>7.  The stack gas flow rates provided are assumed to include water.</t>
  </si>
  <si>
    <t>8.  The stack gas flows in SCFH and ACFH will be based on the average of the mass flow rates.</t>
  </si>
  <si>
    <t xml:space="preserve">Calculate the Stack Gas Flow Rate </t>
  </si>
  <si>
    <t xml:space="preserve">Stack Gas Flow Rate, SCFH = </t>
  </si>
  <si>
    <t xml:space="preserve">  Stack Gas Flow (lbs/hr)   x   379 (scf/lb-mole) </t>
  </si>
  <si>
    <t>MW (lbs/lb-mole)</t>
  </si>
  <si>
    <t xml:space="preserve">Stack Gas Flow Rate, ACFH = </t>
  </si>
  <si>
    <t>Stack Gas Flow (SCFH) x</t>
  </si>
  <si>
    <t>Winter Mass Flow =</t>
  </si>
  <si>
    <t>lbs/hr</t>
  </si>
  <si>
    <t>Summer Mass Flow  =</t>
  </si>
  <si>
    <t>Average Mass Flow  =</t>
  </si>
  <si>
    <t>Average Temperature =</t>
  </si>
  <si>
    <t>UNIT</t>
  </si>
  <si>
    <t>Average Stack Gas Flow</t>
  </si>
  <si>
    <t xml:space="preserve">Stack Gas MW </t>
  </si>
  <si>
    <t>Stack Gas Temp</t>
  </si>
  <si>
    <t>Stack Gas Flow</t>
  </si>
  <si>
    <t>(SCFH)</t>
  </si>
  <si>
    <t>(ACFH)</t>
  </si>
  <si>
    <t>(SCFM)</t>
  </si>
  <si>
    <t>(ACFM)</t>
  </si>
  <si>
    <t>CT #1</t>
  </si>
  <si>
    <t>Unit</t>
  </si>
  <si>
    <r>
      <t>Stack Inside Diameter</t>
    </r>
    <r>
      <rPr>
        <vertAlign val="superscript"/>
        <sz val="10"/>
        <rFont val="Arial"/>
        <family val="2"/>
      </rPr>
      <t>(2)</t>
    </r>
  </si>
  <si>
    <t>Stack Exit Velocity</t>
  </si>
  <si>
    <t>Stack Inside Diameter</t>
  </si>
  <si>
    <r>
      <t>Stack Height</t>
    </r>
    <r>
      <rPr>
        <vertAlign val="superscript"/>
        <sz val="10"/>
        <rFont val="Arial"/>
        <family val="2"/>
      </rPr>
      <t>(2)</t>
    </r>
  </si>
  <si>
    <t>Stack Height</t>
  </si>
  <si>
    <t>(FT)</t>
  </si>
  <si>
    <t>(FT/SEC)</t>
  </si>
  <si>
    <t>(M/SEC)</t>
  </si>
  <si>
    <t>(M)</t>
  </si>
  <si>
    <t>(1)  Information provided by LA DWP.</t>
  </si>
  <si>
    <t>(2)  Information from LA DWP in e-mail from Tim Conkin dated 10/18/00.</t>
  </si>
  <si>
    <r>
      <t>4.  The assumed stack gas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content is 15%.</t>
    </r>
  </si>
  <si>
    <r>
      <t>[Stack Gas Temp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R)]</t>
    </r>
  </si>
  <si>
    <r>
      <t>[Standard Temp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R)]</t>
    </r>
  </si>
  <si>
    <r>
      <t>o</t>
    </r>
    <r>
      <rPr>
        <sz val="10"/>
        <rFont val="Arial"/>
        <family val="2"/>
      </rPr>
      <t>F</t>
    </r>
  </si>
  <si>
    <r>
      <t>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F)</t>
    </r>
  </si>
  <si>
    <t>NORMAL OPERATION</t>
  </si>
  <si>
    <t>NORMAL OPERATIONS</t>
  </si>
  <si>
    <t>DWP VALLEY STATION -- AIR TOXICS EMISSIONS IN GRAMS/SECOND</t>
  </si>
  <si>
    <r>
      <t>Calculate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from Conversion of 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to ammonium sulfate</t>
    </r>
  </si>
  <si>
    <r>
      <t>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to SO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= 5% molar conversion </t>
    </r>
    <r>
      <rPr>
        <b/>
        <vertAlign val="superscript"/>
        <sz val="10"/>
        <rFont val="Arial"/>
        <family val="2"/>
      </rPr>
      <t>(8)</t>
    </r>
  </si>
  <si>
    <r>
      <t>SO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to ammonium sulfate: 1 mole SO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= 1 mole of ammonium sulfate </t>
    </r>
    <r>
      <rPr>
        <b/>
        <vertAlign val="superscript"/>
        <sz val="10"/>
        <rFont val="Arial"/>
        <family val="2"/>
      </rPr>
      <t>(8)</t>
    </r>
  </si>
  <si>
    <r>
      <t>SO</t>
    </r>
    <r>
      <rPr>
        <vertAlign val="subscript"/>
        <sz val="10"/>
        <rFont val="Arial"/>
        <family val="2"/>
      </rPr>
      <t>2</t>
    </r>
  </si>
  <si>
    <r>
      <t>SO</t>
    </r>
    <r>
      <rPr>
        <vertAlign val="subscript"/>
        <sz val="10"/>
        <rFont val="Arial"/>
        <family val="2"/>
      </rPr>
      <t>3</t>
    </r>
  </si>
  <si>
    <t>(lbs/BTU)</t>
  </si>
  <si>
    <t>(lb-mole/MMBtu)</t>
  </si>
  <si>
    <t>(lbs/MMscf)</t>
  </si>
  <si>
    <t>(8) SCAQMD Application Processing and Calculations, Energy Team, 10-14-93.  Faxed to Krishna Nand on 11-17-00.</t>
  </si>
  <si>
    <t>Hrly Emissions</t>
  </si>
  <si>
    <r>
      <t>Total PM</t>
    </r>
    <r>
      <rPr>
        <b/>
        <vertAlign val="subscript"/>
        <sz val="10"/>
        <rFont val="Arial"/>
        <family val="2"/>
      </rPr>
      <t>10</t>
    </r>
  </si>
  <si>
    <r>
      <t>PM</t>
    </r>
    <r>
      <rPr>
        <b/>
        <vertAlign val="subscript"/>
        <sz val="10"/>
        <rFont val="Arial"/>
        <family val="2"/>
      </rPr>
      <t>10</t>
    </r>
  </si>
  <si>
    <r>
      <t>PM</t>
    </r>
    <r>
      <rPr>
        <b/>
        <vertAlign val="subscript"/>
        <sz val="10"/>
        <rFont val="Arial"/>
        <family val="2"/>
      </rPr>
      <t xml:space="preserve">10 </t>
    </r>
    <r>
      <rPr>
        <b/>
        <sz val="10"/>
        <rFont val="Arial"/>
        <family val="2"/>
      </rPr>
      <t>conversion of 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to SO</t>
    </r>
    <r>
      <rPr>
        <b/>
        <vertAlign val="subscript"/>
        <sz val="10"/>
        <rFont val="Arial"/>
        <family val="2"/>
      </rPr>
      <t>3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</si>
  <si>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conversion of 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to SO</t>
    </r>
    <r>
      <rPr>
        <b/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</si>
</sst>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#,##0.0"/>
    <numFmt numFmtId="167" formatCode="0.000"/>
    <numFmt numFmtId="168" formatCode="#,##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thin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33" borderId="15" xfId="0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6" xfId="0" applyFill="1" applyBorder="1" applyAlignment="1">
      <alignment/>
    </xf>
    <xf numFmtId="0" fontId="7" fillId="33" borderId="17" xfId="0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>
      <alignment horizontal="centerContinuous"/>
    </xf>
    <xf numFmtId="0" fontId="7" fillId="33" borderId="18" xfId="0" applyFont="1" applyFill="1" applyBorder="1" applyAlignment="1" applyProtection="1">
      <alignment horizontal="centerContinuous"/>
      <protection/>
    </xf>
    <xf numFmtId="0" fontId="8" fillId="33" borderId="19" xfId="0" applyFont="1" applyFill="1" applyBorder="1" applyAlignment="1" applyProtection="1">
      <alignment horizontal="centerContinuous"/>
      <protection/>
    </xf>
    <xf numFmtId="0" fontId="8" fillId="33" borderId="19" xfId="0" applyFont="1" applyFill="1" applyBorder="1" applyAlignment="1">
      <alignment horizontal="centerContinuous"/>
    </xf>
    <xf numFmtId="11" fontId="0" fillId="0" borderId="20" xfId="0" applyNumberFormat="1" applyFont="1" applyBorder="1" applyAlignment="1">
      <alignment horizontal="center"/>
    </xf>
    <xf numFmtId="0" fontId="2" fillId="34" borderId="15" xfId="0" applyFont="1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6" xfId="0" applyFill="1" applyBorder="1" applyAlignment="1">
      <alignment/>
    </xf>
    <xf numFmtId="0" fontId="2" fillId="34" borderId="17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 quotePrefix="1">
      <alignment horizontal="left"/>
      <protection/>
    </xf>
    <xf numFmtId="0" fontId="0" fillId="34" borderId="0" xfId="0" applyFill="1" applyBorder="1" applyAlignment="1" applyProtection="1">
      <alignment horizontal="center"/>
      <protection/>
    </xf>
    <xf numFmtId="0" fontId="2" fillId="34" borderId="18" xfId="0" applyFont="1" applyFill="1" applyBorder="1" applyAlignment="1" applyProtection="1">
      <alignment horizontal="left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9" xfId="0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 applyProtection="1">
      <alignment horizontal="left"/>
      <protection/>
    </xf>
    <xf numFmtId="0" fontId="0" fillId="0" borderId="25" xfId="0" applyBorder="1" applyAlignment="1">
      <alignment horizontal="centerContinuous"/>
    </xf>
    <xf numFmtId="0" fontId="2" fillId="0" borderId="25" xfId="0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1" fontId="0" fillId="0" borderId="0" xfId="0" applyNumberFormat="1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>
      <alignment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 applyProtection="1">
      <alignment horizontal="left"/>
      <protection/>
    </xf>
    <xf numFmtId="0" fontId="2" fillId="0" borderId="39" xfId="0" applyFont="1" applyBorder="1" applyAlignment="1">
      <alignment/>
    </xf>
    <xf numFmtId="0" fontId="2" fillId="0" borderId="39" xfId="0" applyFont="1" applyBorder="1" applyAlignment="1" applyProtection="1">
      <alignment horizontal="center"/>
      <protection/>
    </xf>
    <xf numFmtId="11" fontId="0" fillId="0" borderId="0" xfId="0" applyNumberFormat="1" applyBorder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2" fontId="2" fillId="0" borderId="40" xfId="0" applyNumberFormat="1" applyFont="1" applyBorder="1" applyAlignment="1" applyProtection="1">
      <alignment horizontal="center"/>
      <protection/>
    </xf>
    <xf numFmtId="2" fontId="2" fillId="0" borderId="41" xfId="0" applyNumberFormat="1" applyFont="1" applyBorder="1" applyAlignment="1" applyProtection="1">
      <alignment horizontal="center"/>
      <protection/>
    </xf>
    <xf numFmtId="166" fontId="0" fillId="0" borderId="0" xfId="0" applyNumberForma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5" xfId="0" applyFont="1" applyBorder="1" applyAlignment="1" applyProtection="1">
      <alignment horizontal="left"/>
      <protection/>
    </xf>
    <xf numFmtId="11" fontId="0" fillId="0" borderId="46" xfId="0" applyNumberFormat="1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left"/>
      <protection/>
    </xf>
    <xf numFmtId="11" fontId="0" fillId="0" borderId="40" xfId="0" applyNumberFormat="1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 horizontal="left"/>
      <protection/>
    </xf>
    <xf numFmtId="11" fontId="0" fillId="0" borderId="48" xfId="0" applyNumberFormat="1" applyFont="1" applyBorder="1" applyAlignment="1" applyProtection="1">
      <alignment horizontal="center"/>
      <protection/>
    </xf>
    <xf numFmtId="0" fontId="0" fillId="0" borderId="37" xfId="0" applyBorder="1" applyAlignment="1">
      <alignment/>
    </xf>
    <xf numFmtId="0" fontId="0" fillId="0" borderId="40" xfId="0" applyBorder="1" applyAlignment="1">
      <alignment horizontal="center"/>
    </xf>
    <xf numFmtId="11" fontId="0" fillId="0" borderId="40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1" fontId="0" fillId="0" borderId="39" xfId="0" applyNumberFormat="1" applyBorder="1" applyAlignment="1">
      <alignment horizontal="center"/>
    </xf>
    <xf numFmtId="0" fontId="0" fillId="0" borderId="40" xfId="0" applyBorder="1" applyAlignment="1">
      <alignment/>
    </xf>
    <xf numFmtId="0" fontId="0" fillId="35" borderId="0" xfId="0" applyFill="1" applyAlignment="1">
      <alignment/>
    </xf>
    <xf numFmtId="11" fontId="9" fillId="35" borderId="0" xfId="0" applyNumberFormat="1" applyFont="1" applyFill="1" applyAlignment="1">
      <alignment/>
    </xf>
    <xf numFmtId="0" fontId="0" fillId="0" borderId="4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36" borderId="21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quotePrefix="1">
      <alignment/>
    </xf>
    <xf numFmtId="0" fontId="0" fillId="0" borderId="25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1" fontId="0" fillId="0" borderId="52" xfId="0" applyNumberFormat="1" applyFont="1" applyBorder="1" applyAlignment="1">
      <alignment horizontal="center"/>
    </xf>
    <xf numFmtId="11" fontId="0" fillId="0" borderId="53" xfId="0" applyNumberFormat="1" applyFont="1" applyBorder="1" applyAlignment="1">
      <alignment horizontal="center"/>
    </xf>
    <xf numFmtId="11" fontId="0" fillId="0" borderId="52" xfId="0" applyNumberFormat="1" applyBorder="1" applyAlignment="1">
      <alignment horizontal="center"/>
    </xf>
    <xf numFmtId="11" fontId="0" fillId="0" borderId="54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35" borderId="0" xfId="0" applyFont="1" applyFill="1" applyAlignment="1">
      <alignment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Font="1" applyBorder="1" applyAlignment="1">
      <alignment horizontal="center"/>
    </xf>
    <xf numFmtId="2" fontId="0" fillId="0" borderId="58" xfId="0" applyNumberFormat="1" applyFont="1" applyBorder="1" applyAlignment="1" applyProtection="1">
      <alignment horizontal="center"/>
      <protection/>
    </xf>
    <xf numFmtId="2" fontId="0" fillId="0" borderId="40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>
      <alignment horizontal="center"/>
    </xf>
    <xf numFmtId="11" fontId="0" fillId="0" borderId="59" xfId="0" applyNumberFormat="1" applyBorder="1" applyAlignment="1">
      <alignment horizontal="center"/>
    </xf>
    <xf numFmtId="11" fontId="0" fillId="0" borderId="60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11" fontId="0" fillId="0" borderId="61" xfId="0" applyNumberFormat="1" applyBorder="1" applyAlignment="1">
      <alignment horizontal="center"/>
    </xf>
    <xf numFmtId="0" fontId="0" fillId="34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62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0" fontId="2" fillId="0" borderId="54" xfId="0" applyFont="1" applyBorder="1" applyAlignment="1" applyProtection="1">
      <alignment horizontal="center"/>
      <protection/>
    </xf>
    <xf numFmtId="0" fontId="2" fillId="1" borderId="21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66" fontId="2" fillId="0" borderId="63" xfId="0" applyNumberFormat="1" applyFont="1" applyBorder="1" applyAlignment="1">
      <alignment horizontal="center"/>
    </xf>
    <xf numFmtId="166" fontId="2" fillId="0" borderId="59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1" borderId="13" xfId="0" applyFill="1" applyBorder="1" applyAlignment="1">
      <alignment/>
    </xf>
    <xf numFmtId="0" fontId="0" fillId="1" borderId="14" xfId="0" applyFill="1" applyBorder="1" applyAlignment="1">
      <alignment/>
    </xf>
    <xf numFmtId="0" fontId="0" fillId="1" borderId="57" xfId="0" applyFill="1" applyBorder="1" applyAlignment="1">
      <alignment/>
    </xf>
    <xf numFmtId="0" fontId="0" fillId="1" borderId="17" xfId="0" applyFill="1" applyBorder="1" applyAlignment="1">
      <alignment/>
    </xf>
    <xf numFmtId="0" fontId="0" fillId="1" borderId="0" xfId="0" applyFill="1" applyBorder="1" applyAlignment="1">
      <alignment/>
    </xf>
    <xf numFmtId="0" fontId="0" fillId="1" borderId="22" xfId="0" applyFill="1" applyBorder="1" applyAlignment="1">
      <alignment/>
    </xf>
    <xf numFmtId="0" fontId="0" fillId="1" borderId="64" xfId="0" applyFill="1" applyBorder="1" applyAlignment="1">
      <alignment/>
    </xf>
    <xf numFmtId="0" fontId="0" fillId="1" borderId="65" xfId="0" applyFill="1" applyBorder="1" applyAlignment="1">
      <alignment/>
    </xf>
    <xf numFmtId="0" fontId="0" fillId="1" borderId="66" xfId="0" applyFill="1" applyBorder="1" applyAlignment="1">
      <alignment/>
    </xf>
    <xf numFmtId="0" fontId="0" fillId="37" borderId="67" xfId="0" applyFill="1" applyBorder="1" applyAlignment="1">
      <alignment/>
    </xf>
    <xf numFmtId="0" fontId="0" fillId="37" borderId="68" xfId="0" applyFill="1" applyBorder="1" applyAlignment="1">
      <alignment/>
    </xf>
    <xf numFmtId="0" fontId="0" fillId="37" borderId="69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64" xfId="0" applyFill="1" applyBorder="1" applyAlignment="1">
      <alignment/>
    </xf>
    <xf numFmtId="0" fontId="0" fillId="37" borderId="65" xfId="0" applyFill="1" applyBorder="1" applyAlignment="1">
      <alignment/>
    </xf>
    <xf numFmtId="0" fontId="0" fillId="37" borderId="66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60" xfId="0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11" fontId="0" fillId="0" borderId="58" xfId="0" applyNumberFormat="1" applyFont="1" applyBorder="1" applyAlignment="1" applyProtection="1">
      <alignment horizontal="center"/>
      <protection/>
    </xf>
    <xf numFmtId="3" fontId="2" fillId="0" borderId="4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0" fontId="0" fillId="1" borderId="13" xfId="0" applyFill="1" applyBorder="1" applyAlignment="1">
      <alignment horizontal="left"/>
    </xf>
    <xf numFmtId="0" fontId="0" fillId="1" borderId="14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/>
    </xf>
    <xf numFmtId="11" fontId="0" fillId="0" borderId="61" xfId="0" applyNumberFormat="1" applyBorder="1" applyAlignment="1">
      <alignment/>
    </xf>
    <xf numFmtId="0" fontId="0" fillId="36" borderId="22" xfId="0" applyFill="1" applyBorder="1" applyAlignment="1">
      <alignment horizontal="centerContinuous"/>
    </xf>
    <xf numFmtId="0" fontId="0" fillId="36" borderId="23" xfId="0" applyFill="1" applyBorder="1" applyAlignment="1">
      <alignment horizontal="centerContinuous"/>
    </xf>
    <xf numFmtId="11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0" fontId="12" fillId="0" borderId="31" xfId="0" applyFont="1" applyBorder="1" applyAlignment="1" applyProtection="1">
      <alignment horizontal="center"/>
      <protection/>
    </xf>
    <xf numFmtId="167" fontId="2" fillId="0" borderId="41" xfId="0" applyNumberFormat="1" applyFont="1" applyBorder="1" applyAlignment="1" applyProtection="1">
      <alignment horizontal="center"/>
      <protection/>
    </xf>
    <xf numFmtId="167" fontId="2" fillId="0" borderId="40" xfId="0" applyNumberFormat="1" applyFont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center"/>
      <protection/>
    </xf>
    <xf numFmtId="0" fontId="7" fillId="1" borderId="10" xfId="0" applyFont="1" applyFill="1" applyBorder="1" applyAlignment="1">
      <alignment horizontal="center"/>
    </xf>
    <xf numFmtId="0" fontId="7" fillId="1" borderId="11" xfId="0" applyFont="1" applyFill="1" applyBorder="1" applyAlignment="1">
      <alignment horizontal="center"/>
    </xf>
    <xf numFmtId="0" fontId="7" fillId="1" borderId="5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1" borderId="12" xfId="0" applyFont="1" applyFill="1" applyBorder="1" applyAlignment="1">
      <alignment horizontal="center"/>
    </xf>
    <xf numFmtId="0" fontId="7" fillId="1" borderId="0" xfId="0" applyFont="1" applyFill="1" applyBorder="1" applyAlignment="1">
      <alignment horizontal="center"/>
    </xf>
    <xf numFmtId="0" fontId="7" fillId="1" borderId="56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1" borderId="15" xfId="0" applyFont="1" applyFill="1" applyBorder="1" applyAlignment="1">
      <alignment horizontal="center"/>
    </xf>
    <xf numFmtId="0" fontId="7" fillId="1" borderId="16" xfId="0" applyFont="1" applyFill="1" applyBorder="1" applyAlignment="1">
      <alignment horizontal="center"/>
    </xf>
    <xf numFmtId="0" fontId="7" fillId="1" borderId="21" xfId="0" applyFont="1" applyFill="1" applyBorder="1" applyAlignment="1">
      <alignment horizontal="center"/>
    </xf>
    <xf numFmtId="0" fontId="7" fillId="1" borderId="17" xfId="0" applyFont="1" applyFill="1" applyBorder="1" applyAlignment="1">
      <alignment horizontal="center"/>
    </xf>
    <xf numFmtId="0" fontId="7" fillId="1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6</xdr:col>
      <xdr:colOff>0</xdr:colOff>
      <xdr:row>41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6534150"/>
          <a:ext cx="614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6</xdr:col>
      <xdr:colOff>0</xdr:colOff>
      <xdr:row>41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8575" y="6534150"/>
          <a:ext cx="614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742950</xdr:colOff>
      <xdr:row>41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0" y="6534150"/>
          <a:ext cx="5133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108</xdr:row>
      <xdr:rowOff>0</xdr:rowOff>
    </xdr:from>
    <xdr:to>
      <xdr:col>7</xdr:col>
      <xdr:colOff>0</xdr:colOff>
      <xdr:row>108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8575" y="18659475"/>
          <a:ext cx="637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0</xdr:rowOff>
    </xdr:from>
    <xdr:to>
      <xdr:col>7</xdr:col>
      <xdr:colOff>0</xdr:colOff>
      <xdr:row>44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8086725"/>
          <a:ext cx="536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Reports/R1350%20(DWP%20Repowering)/Harbor/HN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a Pollu. Emissions"/>
      <sheetName val="Air Toxics Emissions"/>
      <sheetName val="Air Toxics Grams per Sec"/>
      <sheetName val="EF Criteria "/>
      <sheetName val="stack"/>
      <sheetName val="Air Toxics EF"/>
    </sheetNames>
    <sheetDataSet>
      <sheetData sheetId="3">
        <row r="103">
          <cell r="F103">
            <v>0.152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35">
      <selection activeCell="A53" sqref="A53"/>
    </sheetView>
  </sheetViews>
  <sheetFormatPr defaultColWidth="9.140625" defaultRowHeight="12.75"/>
  <cols>
    <col min="1" max="1" width="29.7109375" style="81" customWidth="1"/>
    <col min="2" max="2" width="12.7109375" style="0" customWidth="1"/>
    <col min="3" max="4" width="11.7109375" style="0" customWidth="1"/>
    <col min="5" max="5" width="15.00390625" style="0" bestFit="1" customWidth="1"/>
    <col min="6" max="6" width="11.7109375" style="1" bestFit="1" customWidth="1"/>
  </cols>
  <sheetData>
    <row r="1" spans="1:6" ht="7.5" customHeight="1" thickTop="1">
      <c r="A1" s="21"/>
      <c r="B1" s="22"/>
      <c r="C1" s="23"/>
      <c r="D1" s="23"/>
      <c r="E1" s="23"/>
      <c r="F1" s="153"/>
    </row>
    <row r="2" spans="1:6" ht="17.25">
      <c r="A2" s="210" t="s">
        <v>137</v>
      </c>
      <c r="B2" s="211"/>
      <c r="C2" s="211"/>
      <c r="D2" s="211"/>
      <c r="E2" s="211"/>
      <c r="F2" s="212"/>
    </row>
    <row r="3" spans="1:6" ht="17.25">
      <c r="A3" s="210" t="s">
        <v>245</v>
      </c>
      <c r="B3" s="211"/>
      <c r="C3" s="211"/>
      <c r="D3" s="211"/>
      <c r="E3" s="211"/>
      <c r="F3" s="212"/>
    </row>
    <row r="4" spans="1:6" ht="17.25" customHeight="1" thickBot="1">
      <c r="A4" s="213" t="s">
        <v>138</v>
      </c>
      <c r="B4" s="214"/>
      <c r="C4" s="214"/>
      <c r="D4" s="214"/>
      <c r="E4" s="214"/>
      <c r="F4" s="215"/>
    </row>
    <row r="5" spans="1:6" ht="7.5" customHeight="1" thickTop="1">
      <c r="A5" s="31"/>
      <c r="B5" s="32"/>
      <c r="C5" s="33"/>
      <c r="D5" s="33"/>
      <c r="E5" s="33"/>
      <c r="F5" s="68"/>
    </row>
    <row r="6" spans="1:6" ht="12.75">
      <c r="A6" s="34" t="s">
        <v>37</v>
      </c>
      <c r="B6" s="35" t="s">
        <v>136</v>
      </c>
      <c r="C6" s="36"/>
      <c r="D6" s="37"/>
      <c r="E6" s="107"/>
      <c r="F6" s="68"/>
    </row>
    <row r="7" spans="1:6" ht="12.75" hidden="1">
      <c r="A7" s="34" t="s">
        <v>38</v>
      </c>
      <c r="B7" s="38" t="s">
        <v>39</v>
      </c>
      <c r="C7" s="37"/>
      <c r="D7" s="39"/>
      <c r="E7" s="37"/>
      <c r="F7" s="68"/>
    </row>
    <row r="8" spans="1:6" ht="12.75">
      <c r="A8" s="34" t="s">
        <v>40</v>
      </c>
      <c r="B8" s="35">
        <v>1</v>
      </c>
      <c r="C8" s="37"/>
      <c r="D8" s="37"/>
      <c r="E8" s="37"/>
      <c r="F8" s="68"/>
    </row>
    <row r="9" spans="1:6" ht="12.75">
      <c r="A9" s="34" t="s">
        <v>41</v>
      </c>
      <c r="B9" s="37" t="s">
        <v>68</v>
      </c>
      <c r="C9" s="37"/>
      <c r="D9" s="37"/>
      <c r="E9" s="37"/>
      <c r="F9" s="68"/>
    </row>
    <row r="10" spans="1:6" ht="12.75">
      <c r="A10" s="34" t="s">
        <v>42</v>
      </c>
      <c r="B10" s="35" t="s">
        <v>43</v>
      </c>
      <c r="C10" s="37"/>
      <c r="D10" s="37"/>
      <c r="E10" s="37"/>
      <c r="F10" s="68"/>
    </row>
    <row r="11" spans="1:6" ht="12.75">
      <c r="A11" s="34" t="s">
        <v>44</v>
      </c>
      <c r="B11" s="35" t="s">
        <v>195</v>
      </c>
      <c r="C11" s="36"/>
      <c r="D11" s="37"/>
      <c r="E11" s="108"/>
      <c r="F11" s="68"/>
    </row>
    <row r="12" spans="1:6" ht="7.5" customHeight="1" thickBot="1">
      <c r="A12" s="40"/>
      <c r="B12" s="41"/>
      <c r="C12" s="42"/>
      <c r="D12" s="42"/>
      <c r="E12" s="42"/>
      <c r="F12" s="73"/>
    </row>
    <row r="13" spans="1:6" ht="7.5" customHeight="1" thickTop="1">
      <c r="A13" s="43"/>
      <c r="B13" s="44"/>
      <c r="C13" s="44"/>
      <c r="D13" s="44"/>
      <c r="E13" s="44"/>
      <c r="F13" s="63"/>
    </row>
    <row r="14" spans="1:6" ht="12.75">
      <c r="A14" s="46" t="s">
        <v>46</v>
      </c>
      <c r="B14" s="6" t="s">
        <v>118</v>
      </c>
      <c r="C14" s="6"/>
      <c r="D14" s="6"/>
      <c r="E14" s="6"/>
      <c r="F14" s="68"/>
    </row>
    <row r="15" spans="1:6" ht="12.75">
      <c r="A15" s="46"/>
      <c r="B15" s="6" t="s">
        <v>117</v>
      </c>
      <c r="C15" s="6"/>
      <c r="D15" s="6"/>
      <c r="E15" s="6"/>
      <c r="F15" s="68"/>
    </row>
    <row r="16" spans="1:6" ht="15">
      <c r="A16" s="46" t="s">
        <v>48</v>
      </c>
      <c r="B16" s="6" t="s">
        <v>49</v>
      </c>
      <c r="C16" s="6"/>
      <c r="D16" s="6"/>
      <c r="E16" s="6"/>
      <c r="F16" s="68"/>
    </row>
    <row r="17" spans="1:6" ht="15">
      <c r="A17" s="46" t="s">
        <v>50</v>
      </c>
      <c r="B17" s="6" t="s">
        <v>51</v>
      </c>
      <c r="C17" s="6"/>
      <c r="D17" s="6"/>
      <c r="E17" s="6"/>
      <c r="F17" s="68"/>
    </row>
    <row r="18" spans="1:6" ht="7.5" customHeight="1" thickBot="1">
      <c r="A18" s="48"/>
      <c r="B18" s="49"/>
      <c r="C18" s="49"/>
      <c r="D18" s="49"/>
      <c r="E18" s="49"/>
      <c r="F18" s="73"/>
    </row>
    <row r="19" spans="1:6" ht="18" customHeight="1" thickBot="1" thickTop="1">
      <c r="A19" s="51" t="s">
        <v>52</v>
      </c>
      <c r="B19" s="52"/>
      <c r="C19" s="52"/>
      <c r="D19" s="53" t="s">
        <v>53</v>
      </c>
      <c r="E19" s="109"/>
      <c r="F19" s="154"/>
    </row>
    <row r="20" spans="1:6" ht="7.5" customHeight="1" thickTop="1">
      <c r="A20" s="43"/>
      <c r="B20" s="44"/>
      <c r="C20" s="44"/>
      <c r="D20" s="44"/>
      <c r="E20" s="44"/>
      <c r="F20" s="63"/>
    </row>
    <row r="21" spans="1:6" ht="15">
      <c r="A21" s="46" t="s">
        <v>75</v>
      </c>
      <c r="B21" s="6"/>
      <c r="C21" s="6"/>
      <c r="D21" s="85">
        <f>+'EF Criteria '!D40</f>
        <v>3582.8</v>
      </c>
      <c r="E21" s="6" t="s">
        <v>195</v>
      </c>
      <c r="F21" s="68"/>
    </row>
    <row r="22" spans="1:6" ht="15">
      <c r="A22" s="46" t="s">
        <v>76</v>
      </c>
      <c r="B22" s="6"/>
      <c r="C22" s="6"/>
      <c r="D22" s="124">
        <f>+'EF Criteria '!E35</f>
        <v>0.409</v>
      </c>
      <c r="E22" s="6" t="s">
        <v>195</v>
      </c>
      <c r="F22" s="68"/>
    </row>
    <row r="23" spans="1:6" ht="12.75">
      <c r="A23" s="46" t="s">
        <v>70</v>
      </c>
      <c r="B23" s="6"/>
      <c r="C23" s="6"/>
      <c r="D23" s="55" t="s">
        <v>69</v>
      </c>
      <c r="E23" s="6" t="s">
        <v>196</v>
      </c>
      <c r="F23" s="68"/>
    </row>
    <row r="24" spans="1:6" ht="12.75">
      <c r="A24" s="46"/>
      <c r="B24" s="6"/>
      <c r="C24" s="6"/>
      <c r="D24" s="55"/>
      <c r="E24" s="6"/>
      <c r="F24" s="68"/>
    </row>
    <row r="25" spans="1:6" ht="12.75">
      <c r="A25" s="46" t="s">
        <v>55</v>
      </c>
      <c r="B25" s="6"/>
      <c r="C25" s="6"/>
      <c r="D25" s="56">
        <v>24</v>
      </c>
      <c r="E25" s="6" t="s">
        <v>56</v>
      </c>
      <c r="F25" s="68"/>
    </row>
    <row r="26" spans="1:6" ht="12.75">
      <c r="A26" s="57"/>
      <c r="B26" s="6"/>
      <c r="C26" s="6"/>
      <c r="D26" s="56">
        <v>7</v>
      </c>
      <c r="E26" s="6" t="s">
        <v>57</v>
      </c>
      <c r="F26" s="68"/>
    </row>
    <row r="27" spans="1:6" ht="12.75">
      <c r="A27" s="57"/>
      <c r="B27" s="6"/>
      <c r="C27" s="6"/>
      <c r="D27" s="58">
        <v>52</v>
      </c>
      <c r="E27" s="110" t="s">
        <v>58</v>
      </c>
      <c r="F27" s="68"/>
    </row>
    <row r="28" spans="1:6" ht="7.5" customHeight="1" thickBot="1">
      <c r="A28" s="48"/>
      <c r="B28" s="49"/>
      <c r="C28" s="49"/>
      <c r="D28" s="49"/>
      <c r="E28" s="49"/>
      <c r="F28" s="73"/>
    </row>
    <row r="29" spans="1:6" ht="13.5" thickTop="1">
      <c r="A29" s="59" t="s">
        <v>66</v>
      </c>
      <c r="B29" s="61" t="s">
        <v>23</v>
      </c>
      <c r="C29" s="62" t="s">
        <v>171</v>
      </c>
      <c r="D29" s="62" t="s">
        <v>59</v>
      </c>
      <c r="E29" s="148" t="s">
        <v>59</v>
      </c>
      <c r="F29" s="86" t="s">
        <v>73</v>
      </c>
    </row>
    <row r="30" spans="1:6" ht="12.75">
      <c r="A30" s="64" t="s">
        <v>60</v>
      </c>
      <c r="B30" s="66" t="s">
        <v>3</v>
      </c>
      <c r="C30" s="67" t="s">
        <v>61</v>
      </c>
      <c r="D30" s="67" t="s">
        <v>61</v>
      </c>
      <c r="E30" s="14" t="s">
        <v>61</v>
      </c>
      <c r="F30" s="87" t="s">
        <v>61</v>
      </c>
    </row>
    <row r="31" spans="1:6" ht="13.5" thickBot="1">
      <c r="A31" s="69"/>
      <c r="B31" s="71" t="s">
        <v>14</v>
      </c>
      <c r="C31" s="72" t="s">
        <v>62</v>
      </c>
      <c r="D31" s="72" t="s">
        <v>63</v>
      </c>
      <c r="E31" s="149" t="s">
        <v>64</v>
      </c>
      <c r="F31" s="88" t="s">
        <v>158</v>
      </c>
    </row>
    <row r="32" spans="1:6" ht="13.5" thickTop="1">
      <c r="A32" s="74" t="s">
        <v>65</v>
      </c>
      <c r="B32" s="84">
        <f>+'EF Criteria '!E68</f>
        <v>19.64</v>
      </c>
      <c r="C32" s="84">
        <f aca="true" t="shared" si="0" ref="C32:C39">ROUND(B32*$D$22,2)</f>
        <v>8.03</v>
      </c>
      <c r="D32" s="185">
        <f aca="true" t="shared" si="1" ref="D32:D39">ROUND(B32*$D$21,0)</f>
        <v>70366</v>
      </c>
      <c r="E32" s="150">
        <f aca="true" t="shared" si="2" ref="E32:E39">ROUND(D32/2000,2)</f>
        <v>35.18</v>
      </c>
      <c r="F32" s="155">
        <f aca="true" t="shared" si="3" ref="F32:F39">ROUND(C32*24,2)</f>
        <v>192.72</v>
      </c>
    </row>
    <row r="33" spans="1:6" ht="12.75">
      <c r="A33" s="75" t="s">
        <v>12</v>
      </c>
      <c r="B33" s="83">
        <f>+'EF Criteria '!E69</f>
        <v>14.39</v>
      </c>
      <c r="C33" s="83">
        <f t="shared" si="0"/>
        <v>5.89</v>
      </c>
      <c r="D33" s="184">
        <f t="shared" si="1"/>
        <v>51556</v>
      </c>
      <c r="E33" s="151">
        <f t="shared" si="2"/>
        <v>25.78</v>
      </c>
      <c r="F33" s="156">
        <f t="shared" si="3"/>
        <v>141.36</v>
      </c>
    </row>
    <row r="34" spans="1:6" ht="12.75">
      <c r="A34" s="75" t="s">
        <v>67</v>
      </c>
      <c r="B34" s="83">
        <f>+'EF Criteria '!E70</f>
        <v>2.73</v>
      </c>
      <c r="C34" s="83">
        <f t="shared" si="0"/>
        <v>1.12</v>
      </c>
      <c r="D34" s="184">
        <f t="shared" si="1"/>
        <v>9781</v>
      </c>
      <c r="E34" s="151">
        <f t="shared" si="2"/>
        <v>4.89</v>
      </c>
      <c r="F34" s="156">
        <f t="shared" si="3"/>
        <v>26.88</v>
      </c>
    </row>
    <row r="35" spans="1:6" ht="15">
      <c r="A35" s="75" t="s">
        <v>74</v>
      </c>
      <c r="B35" s="83">
        <f>+'EF Criteria '!E71</f>
        <v>7.25</v>
      </c>
      <c r="C35" s="83">
        <f t="shared" si="0"/>
        <v>2.97</v>
      </c>
      <c r="D35" s="184">
        <f t="shared" si="1"/>
        <v>25975</v>
      </c>
      <c r="E35" s="151">
        <f t="shared" si="2"/>
        <v>12.99</v>
      </c>
      <c r="F35" s="156">
        <f t="shared" si="3"/>
        <v>71.28</v>
      </c>
    </row>
    <row r="36" spans="1:6" ht="12.75">
      <c r="A36" s="75" t="s">
        <v>71</v>
      </c>
      <c r="B36" s="83">
        <f>+'EF Criteria '!E80</f>
        <v>6.93</v>
      </c>
      <c r="C36" s="83">
        <f t="shared" si="0"/>
        <v>2.83</v>
      </c>
      <c r="D36" s="184">
        <f t="shared" si="1"/>
        <v>24829</v>
      </c>
      <c r="E36" s="151">
        <f t="shared" si="2"/>
        <v>12.41</v>
      </c>
      <c r="F36" s="156">
        <f t="shared" si="3"/>
        <v>67.92</v>
      </c>
    </row>
    <row r="37" spans="1:6" ht="15">
      <c r="A37" s="75" t="s">
        <v>260</v>
      </c>
      <c r="B37" s="83">
        <f>'[1]EF Criteria '!F103</f>
        <v>0.152</v>
      </c>
      <c r="C37" s="83">
        <f t="shared" si="0"/>
        <v>0.06</v>
      </c>
      <c r="D37" s="184">
        <f>ROUND(B37*$D$21,2)</f>
        <v>544.59</v>
      </c>
      <c r="E37" s="151">
        <f t="shared" si="2"/>
        <v>0.27</v>
      </c>
      <c r="F37" s="156">
        <f t="shared" si="3"/>
        <v>1.44</v>
      </c>
    </row>
    <row r="38" spans="1:6" ht="15">
      <c r="A38" s="75" t="s">
        <v>258</v>
      </c>
      <c r="B38" s="83" t="s">
        <v>31</v>
      </c>
      <c r="C38" s="83">
        <f>C36+C37</f>
        <v>2.89</v>
      </c>
      <c r="D38" s="184">
        <f>D36+D37</f>
        <v>25373.59</v>
      </c>
      <c r="E38" s="151">
        <f>E36+E37</f>
        <v>12.68</v>
      </c>
      <c r="F38" s="156">
        <f>F36+F37</f>
        <v>69.36</v>
      </c>
    </row>
    <row r="39" spans="1:6" ht="15">
      <c r="A39" s="75" t="s">
        <v>72</v>
      </c>
      <c r="B39" s="83">
        <f>+'EF Criteria '!E81</f>
        <v>1.48</v>
      </c>
      <c r="C39" s="83">
        <f t="shared" si="0"/>
        <v>0.61</v>
      </c>
      <c r="D39" s="184">
        <f t="shared" si="1"/>
        <v>5303</v>
      </c>
      <c r="E39" s="151">
        <f t="shared" si="2"/>
        <v>2.65</v>
      </c>
      <c r="F39" s="156">
        <f t="shared" si="3"/>
        <v>14.64</v>
      </c>
    </row>
    <row r="40" spans="1:6" ht="13.5" thickBot="1">
      <c r="A40" s="76"/>
      <c r="B40" s="77"/>
      <c r="C40" s="78"/>
      <c r="D40" s="78"/>
      <c r="E40" s="152"/>
      <c r="F40" s="157"/>
    </row>
    <row r="41" spans="1:5" ht="14.25" thickBot="1" thickTop="1">
      <c r="A41" s="6"/>
      <c r="B41" s="55"/>
      <c r="C41" s="79"/>
      <c r="D41" s="79"/>
      <c r="E41" s="79"/>
    </row>
    <row r="42" spans="1:2" ht="13.5" thickTop="1">
      <c r="A42" s="59" t="s">
        <v>66</v>
      </c>
      <c r="B42" s="61" t="s">
        <v>171</v>
      </c>
    </row>
    <row r="43" spans="1:2" ht="12.75">
      <c r="A43" s="64" t="s">
        <v>60</v>
      </c>
      <c r="B43" s="207" t="s">
        <v>257</v>
      </c>
    </row>
    <row r="44" spans="1:2" ht="13.5" thickBot="1">
      <c r="A44" s="69"/>
      <c r="B44" s="71" t="s">
        <v>182</v>
      </c>
    </row>
    <row r="45" spans="1:2" ht="13.5" thickTop="1">
      <c r="A45" s="74" t="s">
        <v>65</v>
      </c>
      <c r="B45" s="208">
        <f>ROUND(C32*454/3600,3)</f>
        <v>1.013</v>
      </c>
    </row>
    <row r="46" spans="1:2" ht="12.75">
      <c r="A46" s="75" t="s">
        <v>12</v>
      </c>
      <c r="B46" s="209">
        <f aca="true" t="shared" si="4" ref="B46:B52">ROUND(C33*454/3600,3)</f>
        <v>0.743</v>
      </c>
    </row>
    <row r="47" spans="1:2" ht="12.75">
      <c r="A47" s="75" t="s">
        <v>67</v>
      </c>
      <c r="B47" s="209">
        <f t="shared" si="4"/>
        <v>0.141</v>
      </c>
    </row>
    <row r="48" spans="1:2" ht="15">
      <c r="A48" s="75" t="s">
        <v>74</v>
      </c>
      <c r="B48" s="209">
        <f t="shared" si="4"/>
        <v>0.375</v>
      </c>
    </row>
    <row r="49" spans="1:2" ht="15">
      <c r="A49" s="75" t="s">
        <v>259</v>
      </c>
      <c r="B49" s="209">
        <f t="shared" si="4"/>
        <v>0.357</v>
      </c>
    </row>
    <row r="50" spans="1:2" ht="15">
      <c r="A50" s="75" t="s">
        <v>261</v>
      </c>
      <c r="B50" s="209">
        <f t="shared" si="4"/>
        <v>0.008</v>
      </c>
    </row>
    <row r="51" spans="1:2" ht="15">
      <c r="A51" s="75" t="s">
        <v>258</v>
      </c>
      <c r="B51" s="209">
        <f t="shared" si="4"/>
        <v>0.364</v>
      </c>
    </row>
    <row r="52" spans="1:2" ht="15">
      <c r="A52" s="75" t="s">
        <v>72</v>
      </c>
      <c r="B52" s="209">
        <f t="shared" si="4"/>
        <v>0.077</v>
      </c>
    </row>
    <row r="53" spans="1:2" ht="13.5" thickBot="1">
      <c r="A53" s="76"/>
      <c r="B53" s="77"/>
    </row>
    <row r="54" ht="13.5" thickTop="1"/>
  </sheetData>
  <sheetProtection/>
  <mergeCells count="3">
    <mergeCell ref="A2:F2"/>
    <mergeCell ref="A3:F3"/>
    <mergeCell ref="A4:F4"/>
  </mergeCells>
  <printOptions horizontalCentered="1"/>
  <pageMargins left="0.75" right="0.75" top="1" bottom="1" header="0.5" footer="0.5"/>
  <pageSetup fitToHeight="1" fitToWidth="1" horizontalDpi="600" verticalDpi="600" orientation="portrait" scale="92" r:id="rId2"/>
  <headerFooter alignWithMargins="0">
    <oddFooter>&amp;L&amp;8K:\reports\R1350\valley\&amp;F\&amp;A&amp;C&amp;P of &amp;N&amp;R&amp;6&amp;D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PageLayoutView="0" workbookViewId="0" topLeftCell="A31">
      <selection activeCell="A31" sqref="A31:A50"/>
    </sheetView>
  </sheetViews>
  <sheetFormatPr defaultColWidth="9.140625" defaultRowHeight="12.75"/>
  <cols>
    <col min="1" max="1" width="25.7109375" style="81" customWidth="1"/>
    <col min="2" max="2" width="15.7109375" style="0" customWidth="1"/>
    <col min="3" max="3" width="12.7109375" style="0" customWidth="1"/>
    <col min="4" max="4" width="11.7109375" style="0" customWidth="1"/>
    <col min="5" max="5" width="14.00390625" style="0" customWidth="1"/>
    <col min="6" max="6" width="10.00390625" style="0" customWidth="1"/>
  </cols>
  <sheetData>
    <row r="1" spans="1:6" ht="7.5" customHeight="1" thickTop="1">
      <c r="A1" s="21"/>
      <c r="B1" s="22"/>
      <c r="C1" s="22"/>
      <c r="D1" s="23"/>
      <c r="E1" s="23"/>
      <c r="F1" s="106"/>
    </row>
    <row r="2" spans="1:6" ht="17.25">
      <c r="A2" s="210" t="s">
        <v>184</v>
      </c>
      <c r="B2" s="211"/>
      <c r="C2" s="211"/>
      <c r="D2" s="211"/>
      <c r="E2" s="211"/>
      <c r="F2" s="212"/>
    </row>
    <row r="3" spans="1:6" ht="17.25" customHeight="1">
      <c r="A3" s="210" t="s">
        <v>246</v>
      </c>
      <c r="B3" s="211"/>
      <c r="C3" s="211"/>
      <c r="D3" s="211"/>
      <c r="E3" s="211"/>
      <c r="F3" s="212"/>
    </row>
    <row r="4" spans="1:6" ht="17.25" customHeight="1" thickBot="1">
      <c r="A4" s="213" t="s">
        <v>138</v>
      </c>
      <c r="B4" s="214"/>
      <c r="C4" s="214"/>
      <c r="D4" s="214"/>
      <c r="E4" s="214"/>
      <c r="F4" s="215"/>
    </row>
    <row r="5" spans="1:6" ht="13.5" thickTop="1">
      <c r="A5" s="34" t="s">
        <v>37</v>
      </c>
      <c r="C5" s="35" t="s">
        <v>136</v>
      </c>
      <c r="D5" s="36"/>
      <c r="E5" s="107"/>
      <c r="F5" s="47"/>
    </row>
    <row r="6" spans="1:6" ht="12.75" hidden="1">
      <c r="A6" s="34" t="s">
        <v>38</v>
      </c>
      <c r="C6" s="38" t="s">
        <v>39</v>
      </c>
      <c r="D6" s="37"/>
      <c r="E6" s="37"/>
      <c r="F6" s="47"/>
    </row>
    <row r="7" spans="1:6" ht="15">
      <c r="A7" s="34" t="s">
        <v>40</v>
      </c>
      <c r="C7" s="142" t="s">
        <v>160</v>
      </c>
      <c r="D7" s="37"/>
      <c r="E7" s="37"/>
      <c r="F7" s="47"/>
    </row>
    <row r="8" spans="1:6" ht="12.75">
      <c r="A8" s="34" t="s">
        <v>41</v>
      </c>
      <c r="C8" s="37" t="s">
        <v>68</v>
      </c>
      <c r="D8" s="37"/>
      <c r="E8" s="37"/>
      <c r="F8" s="47"/>
    </row>
    <row r="9" spans="1:6" ht="12.75">
      <c r="A9" s="34" t="s">
        <v>42</v>
      </c>
      <c r="C9" s="35" t="s">
        <v>43</v>
      </c>
      <c r="D9" s="37"/>
      <c r="E9" s="37"/>
      <c r="F9" s="47"/>
    </row>
    <row r="10" spans="1:6" ht="12.75">
      <c r="A10" s="34" t="s">
        <v>44</v>
      </c>
      <c r="C10" s="35" t="s">
        <v>45</v>
      </c>
      <c r="D10" s="36"/>
      <c r="E10" s="108"/>
      <c r="F10" s="47"/>
    </row>
    <row r="11" spans="1:6" ht="7.5" customHeight="1" thickBot="1">
      <c r="A11" s="40"/>
      <c r="B11" s="41"/>
      <c r="C11" s="41"/>
      <c r="D11" s="42"/>
      <c r="E11" s="42"/>
      <c r="F11" s="50"/>
    </row>
    <row r="12" spans="1:6" ht="7.5" customHeight="1" thickTop="1">
      <c r="A12" s="43"/>
      <c r="B12" s="44"/>
      <c r="C12" s="44"/>
      <c r="D12" s="44"/>
      <c r="E12" s="44"/>
      <c r="F12" s="45"/>
    </row>
    <row r="13" spans="1:6" ht="12.75">
      <c r="A13" s="46" t="s">
        <v>46</v>
      </c>
      <c r="C13" s="6" t="s">
        <v>47</v>
      </c>
      <c r="D13" s="6"/>
      <c r="E13" s="6"/>
      <c r="F13" s="47"/>
    </row>
    <row r="14" spans="1:6" ht="15">
      <c r="A14" s="46" t="s">
        <v>48</v>
      </c>
      <c r="C14" s="6" t="s">
        <v>49</v>
      </c>
      <c r="D14" s="6"/>
      <c r="E14" s="6"/>
      <c r="F14" s="47"/>
    </row>
    <row r="15" spans="1:6" ht="15">
      <c r="A15" s="46" t="s">
        <v>50</v>
      </c>
      <c r="C15" s="6" t="s">
        <v>51</v>
      </c>
      <c r="D15" s="6"/>
      <c r="E15" s="6"/>
      <c r="F15" s="47"/>
    </row>
    <row r="16" spans="1:6" ht="7.5" customHeight="1" thickBot="1">
      <c r="A16" s="48"/>
      <c r="B16" s="49"/>
      <c r="C16" s="49"/>
      <c r="D16" s="49"/>
      <c r="E16" s="49"/>
      <c r="F16" s="50"/>
    </row>
    <row r="17" spans="1:6" ht="18" customHeight="1" thickBot="1" thickTop="1">
      <c r="A17" s="51" t="s">
        <v>52</v>
      </c>
      <c r="B17" s="52"/>
      <c r="C17" s="52"/>
      <c r="D17" s="52"/>
      <c r="E17" s="109"/>
      <c r="F17" s="54"/>
    </row>
    <row r="18" spans="1:6" ht="7.5" customHeight="1" thickTop="1">
      <c r="A18" s="43"/>
      <c r="B18" s="44"/>
      <c r="C18" s="44"/>
      <c r="D18" s="44"/>
      <c r="E18" s="44"/>
      <c r="F18" s="45"/>
    </row>
    <row r="19" spans="1:6" ht="15">
      <c r="A19" s="46" t="s">
        <v>75</v>
      </c>
      <c r="B19" s="6"/>
      <c r="C19" s="6"/>
      <c r="D19" s="85">
        <f>+'EF Criteria '!D40</f>
        <v>3582.8</v>
      </c>
      <c r="E19" s="6" t="s">
        <v>45</v>
      </c>
      <c r="F19" s="47"/>
    </row>
    <row r="20" spans="1:6" ht="15">
      <c r="A20" s="46" t="s">
        <v>76</v>
      </c>
      <c r="B20" s="6"/>
      <c r="C20" s="6"/>
      <c r="D20" s="124">
        <f>+'EF Criteria '!E35</f>
        <v>0.409</v>
      </c>
      <c r="E20" s="6" t="s">
        <v>45</v>
      </c>
      <c r="F20" s="47"/>
    </row>
    <row r="21" spans="1:6" ht="15">
      <c r="A21" s="46" t="s">
        <v>123</v>
      </c>
      <c r="B21" s="6"/>
      <c r="C21" s="6"/>
      <c r="D21" s="6" t="s">
        <v>69</v>
      </c>
      <c r="E21" s="6" t="s">
        <v>54</v>
      </c>
      <c r="F21" s="47"/>
    </row>
    <row r="22" spans="1:6" ht="12.75">
      <c r="A22" s="46"/>
      <c r="B22" s="6"/>
      <c r="C22" s="6"/>
      <c r="D22" s="6"/>
      <c r="E22" s="6"/>
      <c r="F22" s="47"/>
    </row>
    <row r="23" spans="1:6" ht="12.75">
      <c r="A23" s="46" t="s">
        <v>55</v>
      </c>
      <c r="B23" s="6"/>
      <c r="C23" s="6"/>
      <c r="D23" s="6">
        <v>24</v>
      </c>
      <c r="E23" s="6" t="s">
        <v>56</v>
      </c>
      <c r="F23" s="47"/>
    </row>
    <row r="24" spans="1:6" ht="12.75">
      <c r="A24" s="57"/>
      <c r="B24" s="6"/>
      <c r="C24" s="6"/>
      <c r="D24" s="6">
        <v>7</v>
      </c>
      <c r="E24" s="6" t="s">
        <v>57</v>
      </c>
      <c r="F24" s="47"/>
    </row>
    <row r="25" spans="1:6" ht="12.75">
      <c r="A25" s="57"/>
      <c r="B25" s="6"/>
      <c r="C25" s="6"/>
      <c r="D25" s="6">
        <v>52</v>
      </c>
      <c r="E25" s="110" t="s">
        <v>58</v>
      </c>
      <c r="F25" s="47"/>
    </row>
    <row r="26" spans="1:6" ht="7.5" customHeight="1" thickBot="1">
      <c r="A26" s="48"/>
      <c r="B26" s="49"/>
      <c r="C26" s="49"/>
      <c r="D26" s="49"/>
      <c r="E26" s="49"/>
      <c r="F26" s="50"/>
    </row>
    <row r="27" spans="1:6" ht="7.5" customHeight="1" thickBot="1" thickTop="1">
      <c r="A27" s="57"/>
      <c r="B27" s="6"/>
      <c r="C27" s="6"/>
      <c r="D27" s="6"/>
      <c r="E27" s="6"/>
      <c r="F27" s="47"/>
    </row>
    <row r="28" spans="1:6" ht="13.5" thickTop="1">
      <c r="A28" s="59"/>
      <c r="B28" s="60" t="s">
        <v>77</v>
      </c>
      <c r="C28" s="61" t="s">
        <v>23</v>
      </c>
      <c r="D28" s="61" t="s">
        <v>171</v>
      </c>
      <c r="E28" s="111" t="s">
        <v>59</v>
      </c>
      <c r="F28" s="86" t="s">
        <v>59</v>
      </c>
    </row>
    <row r="29" spans="1:6" ht="12.75">
      <c r="A29" s="64" t="s">
        <v>77</v>
      </c>
      <c r="B29" s="65" t="s">
        <v>78</v>
      </c>
      <c r="C29" s="66" t="s">
        <v>3</v>
      </c>
      <c r="D29" s="66" t="s">
        <v>61</v>
      </c>
      <c r="E29" s="112" t="s">
        <v>61</v>
      </c>
      <c r="F29" s="87" t="s">
        <v>61</v>
      </c>
    </row>
    <row r="30" spans="1:6" ht="13.5" thickBot="1">
      <c r="A30" s="69"/>
      <c r="B30" s="70"/>
      <c r="C30" s="71" t="s">
        <v>14</v>
      </c>
      <c r="D30" s="71" t="s">
        <v>62</v>
      </c>
      <c r="E30" s="113" t="s">
        <v>63</v>
      </c>
      <c r="F30" s="88" t="s">
        <v>64</v>
      </c>
    </row>
    <row r="31" spans="1:6" ht="13.5" thickTop="1">
      <c r="A31" s="89" t="str">
        <f>'Air Toxics EF'!B14</f>
        <v>1,3-Butadiene</v>
      </c>
      <c r="B31" s="103">
        <f>'Air Toxics EF'!C14</f>
        <v>106990</v>
      </c>
      <c r="C31" s="90">
        <f>'Air Toxics EF'!E14</f>
        <v>0.000127</v>
      </c>
      <c r="D31" s="92">
        <f aca="true" t="shared" si="0" ref="D31:D50">$D$20*C31</f>
        <v>5.1942999999999994E-05</v>
      </c>
      <c r="E31" s="30">
        <f aca="true" t="shared" si="1" ref="E31:E50">$D$19*C31</f>
        <v>0.4550156</v>
      </c>
      <c r="F31" s="138">
        <f>(E31/2000)</f>
        <v>0.0002275078</v>
      </c>
    </row>
    <row r="32" spans="1:6" ht="12.75">
      <c r="A32" s="91" t="str">
        <f>'Air Toxics EF'!B19</f>
        <v>Acetaldehyde</v>
      </c>
      <c r="B32" s="104">
        <f>'Air Toxics EF'!C19</f>
        <v>75070</v>
      </c>
      <c r="C32" s="92">
        <f>'Air Toxics EF'!E19</f>
        <v>0.137</v>
      </c>
      <c r="D32" s="92">
        <f t="shared" si="0"/>
        <v>0.056033</v>
      </c>
      <c r="E32" s="114">
        <f t="shared" si="1"/>
        <v>490.84360000000004</v>
      </c>
      <c r="F32" s="138">
        <f aca="true" t="shared" si="2" ref="F32:F50">(E32/2000)</f>
        <v>0.24542180000000002</v>
      </c>
    </row>
    <row r="33" spans="1:6" ht="12.75">
      <c r="A33" s="93" t="str">
        <f>'Air Toxics EF'!B20</f>
        <v>Acrolein</v>
      </c>
      <c r="B33" s="105">
        <f>'Air Toxics EF'!C20</f>
        <v>107028</v>
      </c>
      <c r="C33" s="94">
        <f>'Air Toxics EF'!E20</f>
        <v>0.0189</v>
      </c>
      <c r="D33" s="94">
        <f t="shared" si="0"/>
        <v>0.007730099999999999</v>
      </c>
      <c r="E33" s="115">
        <f t="shared" si="1"/>
        <v>67.71492</v>
      </c>
      <c r="F33" s="139">
        <f t="shared" si="2"/>
        <v>0.033857460000000006</v>
      </c>
    </row>
    <row r="34" spans="1:6" ht="12.75">
      <c r="A34" s="91" t="s">
        <v>79</v>
      </c>
      <c r="B34" s="134">
        <v>7664417</v>
      </c>
      <c r="C34" s="183">
        <f>+'EF Criteria '!E71</f>
        <v>7.25</v>
      </c>
      <c r="D34" s="92">
        <f>$D$20*C34</f>
        <v>2.9652499999999997</v>
      </c>
      <c r="E34" s="114">
        <f>$D$19*C34</f>
        <v>25975.300000000003</v>
      </c>
      <c r="F34" s="138">
        <f>ROUND(E34/2000,2)</f>
        <v>12.99</v>
      </c>
    </row>
    <row r="35" spans="1:6" ht="12.75">
      <c r="A35" s="91" t="str">
        <f>'Air Toxics EF'!B22</f>
        <v>Benz(a)anthracene (PAH)</v>
      </c>
      <c r="B35" s="104">
        <f>'Air Toxics EF'!C22</f>
        <v>56553</v>
      </c>
      <c r="C35" s="92">
        <f>'Air Toxics EF'!E22</f>
        <v>2.26E-05</v>
      </c>
      <c r="D35" s="92">
        <f t="shared" si="0"/>
        <v>9.2434E-06</v>
      </c>
      <c r="E35" s="114">
        <f t="shared" si="1"/>
        <v>0.08097128</v>
      </c>
      <c r="F35" s="138">
        <f t="shared" si="2"/>
        <v>4.048564E-05</v>
      </c>
    </row>
    <row r="36" spans="1:6" ht="12.75">
      <c r="A36" s="91" t="str">
        <f>'Air Toxics EF'!B23</f>
        <v>Benzene</v>
      </c>
      <c r="B36" s="104">
        <f>'Air Toxics EF'!C23</f>
        <v>71432</v>
      </c>
      <c r="C36" s="92">
        <f>'Air Toxics EF'!E23</f>
        <v>0.0133</v>
      </c>
      <c r="D36" s="92">
        <f t="shared" si="0"/>
        <v>0.0054397</v>
      </c>
      <c r="E36" s="114">
        <f t="shared" si="1"/>
        <v>47.65124</v>
      </c>
      <c r="F36" s="138">
        <f t="shared" si="2"/>
        <v>0.023825620000000002</v>
      </c>
    </row>
    <row r="37" spans="1:6" ht="12.75">
      <c r="A37" s="91" t="str">
        <f>'Air Toxics EF'!B24</f>
        <v>Benzo(a)pyrene (PAH)</v>
      </c>
      <c r="B37" s="104">
        <f>'Air Toxics EF'!C24</f>
        <v>50328</v>
      </c>
      <c r="C37" s="92">
        <f>'Air Toxics EF'!E24</f>
        <v>1.39E-05</v>
      </c>
      <c r="D37" s="92">
        <f t="shared" si="0"/>
        <v>5.6851E-06</v>
      </c>
      <c r="E37" s="114">
        <f t="shared" si="1"/>
        <v>0.049800920000000005</v>
      </c>
      <c r="F37" s="138">
        <f t="shared" si="2"/>
        <v>2.4900460000000004E-05</v>
      </c>
    </row>
    <row r="38" spans="1:6" ht="12.75">
      <c r="A38" s="93" t="str">
        <f>'Air Toxics EF'!B25</f>
        <v>Benzo(b)fluoranthene (PAH)</v>
      </c>
      <c r="B38" s="105">
        <f>'Air Toxics EF'!C25</f>
        <v>205992</v>
      </c>
      <c r="C38" s="94">
        <f>'Air Toxics EF'!E25</f>
        <v>1.13E-05</v>
      </c>
      <c r="D38" s="92">
        <f t="shared" si="0"/>
        <v>4.6217E-06</v>
      </c>
      <c r="E38" s="115">
        <f t="shared" si="1"/>
        <v>0.04048564</v>
      </c>
      <c r="F38" s="138">
        <f t="shared" si="2"/>
        <v>2.024282E-05</v>
      </c>
    </row>
    <row r="39" spans="1:6" ht="12.75">
      <c r="A39" s="95" t="str">
        <f>'Air Toxics EF'!B28</f>
        <v>Benzo(k)fluoranthene (PAH)</v>
      </c>
      <c r="B39" s="96">
        <f>'Air Toxics EF'!C28</f>
        <v>207089</v>
      </c>
      <c r="C39" s="97">
        <f>'Air Toxics EF'!E28</f>
        <v>1.1E-05</v>
      </c>
      <c r="D39" s="97">
        <f t="shared" si="0"/>
        <v>4.499E-06</v>
      </c>
      <c r="E39" s="116">
        <f t="shared" si="1"/>
        <v>0.0394108</v>
      </c>
      <c r="F39" s="138">
        <f t="shared" si="2"/>
        <v>1.9705400000000003E-05</v>
      </c>
    </row>
    <row r="40" spans="1:6" ht="12.75">
      <c r="A40" s="95" t="str">
        <f>'Air Toxics EF'!B29</f>
        <v>Chrysene (PAH)</v>
      </c>
      <c r="B40" s="96">
        <f>'Air Toxics EF'!C29</f>
        <v>218019</v>
      </c>
      <c r="C40" s="97">
        <f>'Air Toxics EF'!E29</f>
        <v>2.52E-05</v>
      </c>
      <c r="D40" s="97">
        <f t="shared" si="0"/>
        <v>1.03068E-05</v>
      </c>
      <c r="E40" s="116">
        <f t="shared" si="1"/>
        <v>0.09028656</v>
      </c>
      <c r="F40" s="138">
        <f t="shared" si="2"/>
        <v>4.5143280000000004E-05</v>
      </c>
    </row>
    <row r="41" spans="1:6" ht="12.75">
      <c r="A41" s="95" t="str">
        <f>'Air Toxics EF'!B30</f>
        <v>Dibenz(a,h)anthracene (PAH)</v>
      </c>
      <c r="B41" s="96">
        <f>'Air Toxics EF'!C30</f>
        <v>53703</v>
      </c>
      <c r="C41" s="97">
        <f>'Air Toxics EF'!E30</f>
        <v>2.35E-05</v>
      </c>
      <c r="D41" s="97">
        <f t="shared" si="0"/>
        <v>9.6115E-06</v>
      </c>
      <c r="E41" s="116">
        <f t="shared" si="1"/>
        <v>0.0841958</v>
      </c>
      <c r="F41" s="138">
        <f t="shared" si="2"/>
        <v>4.20979E-05</v>
      </c>
    </row>
    <row r="42" spans="1:6" ht="12.75">
      <c r="A42" s="95" t="str">
        <f>'Air Toxics EF'!B31</f>
        <v>Ethylbenzene</v>
      </c>
      <c r="B42" s="96">
        <f>'Air Toxics EF'!C31</f>
        <v>100414</v>
      </c>
      <c r="C42" s="97">
        <f>'Air Toxics EF'!E31</f>
        <v>0.0179</v>
      </c>
      <c r="D42" s="97">
        <f t="shared" si="0"/>
        <v>0.0073211</v>
      </c>
      <c r="E42" s="116">
        <f t="shared" si="1"/>
        <v>64.13212</v>
      </c>
      <c r="F42" s="138">
        <f t="shared" si="2"/>
        <v>0.03206606</v>
      </c>
    </row>
    <row r="43" spans="1:6" ht="12.75">
      <c r="A43" s="95" t="str">
        <f>'Air Toxics EF'!B34</f>
        <v>Formaldehyde</v>
      </c>
      <c r="B43" s="96">
        <f>'Air Toxics EF'!C34</f>
        <v>50000</v>
      </c>
      <c r="C43" s="97">
        <f>'Air Toxics EF'!E34</f>
        <v>0.917</v>
      </c>
      <c r="D43" s="97">
        <f t="shared" si="0"/>
        <v>0.37505299999999997</v>
      </c>
      <c r="E43" s="116">
        <f t="shared" si="1"/>
        <v>3285.4276000000004</v>
      </c>
      <c r="F43" s="138">
        <f t="shared" si="2"/>
        <v>1.6427138000000001</v>
      </c>
    </row>
    <row r="44" spans="1:6" ht="12.75">
      <c r="A44" s="95" t="str">
        <f>'Air Toxics EF'!B35</f>
        <v>Hexane</v>
      </c>
      <c r="B44" s="96">
        <f>'Air Toxics EF'!C35</f>
        <v>110543</v>
      </c>
      <c r="C44" s="97">
        <f>'Air Toxics EF'!E35</f>
        <v>0.259</v>
      </c>
      <c r="D44" s="97">
        <f t="shared" si="0"/>
        <v>0.105931</v>
      </c>
      <c r="E44" s="116">
        <f t="shared" si="1"/>
        <v>927.9452000000001</v>
      </c>
      <c r="F44" s="138">
        <f t="shared" si="2"/>
        <v>0.46397260000000007</v>
      </c>
    </row>
    <row r="45" spans="1:6" ht="12.75">
      <c r="A45" s="95" t="str">
        <f>'Air Toxics EF'!B36</f>
        <v>Indeno(1,2,3-cd)pyrene (PAH)</v>
      </c>
      <c r="B45" s="96">
        <f>'Air Toxics EF'!C36</f>
        <v>193395</v>
      </c>
      <c r="C45" s="97">
        <f>'Air Toxics EF'!E36</f>
        <v>2.35E-05</v>
      </c>
      <c r="D45" s="97">
        <f t="shared" si="0"/>
        <v>9.6115E-06</v>
      </c>
      <c r="E45" s="116">
        <f t="shared" si="1"/>
        <v>0.0841958</v>
      </c>
      <c r="F45" s="138">
        <f t="shared" si="2"/>
        <v>4.20979E-05</v>
      </c>
    </row>
    <row r="46" spans="1:6" ht="12.75">
      <c r="A46" s="95" t="str">
        <f>'Air Toxics EF'!B37</f>
        <v>Naphthalene (PAH)</v>
      </c>
      <c r="B46" s="96">
        <f>'Air Toxics EF'!C37</f>
        <v>91203</v>
      </c>
      <c r="C46" s="97">
        <f>'Air Toxics EF'!E37</f>
        <v>0.00166</v>
      </c>
      <c r="D46" s="97">
        <f t="shared" si="0"/>
        <v>0.00067894</v>
      </c>
      <c r="E46" s="116">
        <f t="shared" si="1"/>
        <v>5.9474480000000005</v>
      </c>
      <c r="F46" s="138">
        <f t="shared" si="2"/>
        <v>0.002973724</v>
      </c>
    </row>
    <row r="47" spans="1:6" ht="12.75">
      <c r="A47" s="95" t="str">
        <f>'Air Toxics EF'!B40</f>
        <v>Propylene</v>
      </c>
      <c r="B47" s="96">
        <f>'Air Toxics EF'!C40</f>
        <v>115071</v>
      </c>
      <c r="C47" s="97">
        <f>'Air Toxics EF'!E40</f>
        <v>0.771</v>
      </c>
      <c r="D47" s="97">
        <f t="shared" si="0"/>
        <v>0.315339</v>
      </c>
      <c r="E47" s="116">
        <f t="shared" si="1"/>
        <v>2762.3388</v>
      </c>
      <c r="F47" s="138">
        <f t="shared" si="2"/>
        <v>1.3811694</v>
      </c>
    </row>
    <row r="48" spans="1:6" ht="12.75">
      <c r="A48" s="95" t="str">
        <f>'Air Toxics EF'!B41</f>
        <v>Propylene Oxide</v>
      </c>
      <c r="B48" s="96">
        <f>'Air Toxics EF'!C41</f>
        <v>75569</v>
      </c>
      <c r="C48" s="97">
        <f>'Air Toxics EF'!E41</f>
        <v>0.0478</v>
      </c>
      <c r="D48" s="97">
        <f t="shared" si="0"/>
        <v>0.0195502</v>
      </c>
      <c r="E48" s="116">
        <f t="shared" si="1"/>
        <v>171.25784000000002</v>
      </c>
      <c r="F48" s="138">
        <f t="shared" si="2"/>
        <v>0.08562892000000001</v>
      </c>
    </row>
    <row r="49" spans="1:6" ht="12.75">
      <c r="A49" s="95" t="str">
        <f>'Air Toxics EF'!B43</f>
        <v>Toluene</v>
      </c>
      <c r="B49" s="96">
        <f>'Air Toxics EF'!C43</f>
        <v>108883</v>
      </c>
      <c r="C49" s="97">
        <f>'Air Toxics EF'!E43</f>
        <v>0.071</v>
      </c>
      <c r="D49" s="97">
        <f t="shared" si="0"/>
        <v>0.029038999999999995</v>
      </c>
      <c r="E49" s="116">
        <f t="shared" si="1"/>
        <v>254.37879999999998</v>
      </c>
      <c r="F49" s="138">
        <f t="shared" si="2"/>
        <v>0.12718939999999998</v>
      </c>
    </row>
    <row r="50" spans="1:6" ht="13.5" thickBot="1">
      <c r="A50" s="147" t="str">
        <f>'Air Toxics EF'!B44</f>
        <v>Xylene(Total)</v>
      </c>
      <c r="B50" s="98">
        <f>'Air Toxics EF'!C44</f>
        <v>1330207</v>
      </c>
      <c r="C50" s="99">
        <f>'Air Toxics EF'!E44</f>
        <v>0.0261</v>
      </c>
      <c r="D50" s="99">
        <f t="shared" si="0"/>
        <v>0.0106749</v>
      </c>
      <c r="E50" s="117">
        <f t="shared" si="1"/>
        <v>93.51108</v>
      </c>
      <c r="F50" s="141">
        <f t="shared" si="2"/>
        <v>0.046755540000000005</v>
      </c>
    </row>
    <row r="51" spans="1:5" ht="13.5" thickTop="1">
      <c r="A51" s="121" t="s">
        <v>154</v>
      </c>
      <c r="B51" s="101"/>
      <c r="C51" s="101"/>
      <c r="D51" s="101"/>
      <c r="E51" s="102"/>
    </row>
    <row r="52" ht="12.75">
      <c r="A52" t="s">
        <v>82</v>
      </c>
    </row>
    <row r="53" spans="1:5" ht="12.75">
      <c r="A53" t="s">
        <v>83</v>
      </c>
      <c r="E53" s="80"/>
    </row>
    <row r="54" ht="12.75">
      <c r="A54" s="81" t="s">
        <v>81</v>
      </c>
    </row>
    <row r="55" ht="12.75">
      <c r="A55" s="81" t="s">
        <v>84</v>
      </c>
    </row>
    <row r="56" ht="12.75">
      <c r="A56" t="s">
        <v>80</v>
      </c>
    </row>
    <row r="57" ht="15">
      <c r="A57" s="82"/>
    </row>
    <row r="60" ht="12.75">
      <c r="A60"/>
    </row>
    <row r="61" ht="15">
      <c r="A61" s="82"/>
    </row>
    <row r="63" ht="3" customHeight="1"/>
  </sheetData>
  <sheetProtection/>
  <mergeCells count="3">
    <mergeCell ref="A2:F2"/>
    <mergeCell ref="A3:F3"/>
    <mergeCell ref="A4:F4"/>
  </mergeCells>
  <printOptions horizontalCentered="1"/>
  <pageMargins left="0.75" right="0.75" top="1" bottom="1" header="0.5" footer="0.5"/>
  <pageSetup fitToHeight="1" fitToWidth="1" horizontalDpi="600" verticalDpi="600" orientation="portrait" scale="89" r:id="rId1"/>
  <headerFooter alignWithMargins="0">
    <oddFooter>&amp;L&amp;8K:\reports\R1350\valley\&amp;F\&amp;A&amp;C&amp;P of &amp;N&amp;R&amp;6&amp;D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5.7109375" style="81" customWidth="1"/>
    <col min="2" max="2" width="15.7109375" style="0" customWidth="1"/>
    <col min="3" max="3" width="12.7109375" style="0" customWidth="1"/>
    <col min="4" max="4" width="11.7109375" style="0" customWidth="1"/>
    <col min="5" max="5" width="14.00390625" style="0" customWidth="1"/>
    <col min="6" max="6" width="10.00390625" style="0" customWidth="1"/>
  </cols>
  <sheetData>
    <row r="1" spans="1:6" ht="7.5" customHeight="1" thickTop="1">
      <c r="A1" s="21"/>
      <c r="B1" s="22"/>
      <c r="C1" s="22"/>
      <c r="D1" s="23"/>
      <c r="E1" s="23"/>
      <c r="F1" s="106"/>
    </row>
    <row r="2" spans="1:6" ht="17.25">
      <c r="A2" s="24" t="s">
        <v>247</v>
      </c>
      <c r="B2" s="25"/>
      <c r="C2" s="25"/>
      <c r="D2" s="26"/>
      <c r="E2" s="26"/>
      <c r="F2" s="203"/>
    </row>
    <row r="3" spans="1:6" ht="17.25">
      <c r="A3" s="24" t="s">
        <v>246</v>
      </c>
      <c r="B3" s="25"/>
      <c r="C3" s="25"/>
      <c r="D3" s="26"/>
      <c r="E3" s="26"/>
      <c r="F3" s="203"/>
    </row>
    <row r="4" spans="1:6" ht="18" thickBot="1">
      <c r="A4" s="27" t="s">
        <v>138</v>
      </c>
      <c r="B4" s="28"/>
      <c r="C4" s="29"/>
      <c r="D4" s="29"/>
      <c r="E4" s="29"/>
      <c r="F4" s="204"/>
    </row>
    <row r="5" spans="1:6" ht="7.5" customHeight="1" thickTop="1">
      <c r="A5" s="31"/>
      <c r="B5" s="32"/>
      <c r="C5" s="32"/>
      <c r="D5" s="33"/>
      <c r="E5" s="33"/>
      <c r="F5" s="45"/>
    </row>
    <row r="6" spans="1:6" ht="12.75">
      <c r="A6" s="34" t="s">
        <v>37</v>
      </c>
      <c r="C6" s="35" t="s">
        <v>136</v>
      </c>
      <c r="D6" s="36"/>
      <c r="E6" s="107"/>
      <c r="F6" s="47"/>
    </row>
    <row r="7" spans="1:6" ht="12.75" hidden="1">
      <c r="A7" s="34" t="s">
        <v>38</v>
      </c>
      <c r="C7" s="38" t="s">
        <v>39</v>
      </c>
      <c r="D7" s="37"/>
      <c r="E7" s="37"/>
      <c r="F7" s="47"/>
    </row>
    <row r="8" spans="1:6" ht="15">
      <c r="A8" s="34" t="s">
        <v>40</v>
      </c>
      <c r="C8" s="142" t="s">
        <v>160</v>
      </c>
      <c r="D8" s="37"/>
      <c r="E8" s="37"/>
      <c r="F8" s="47"/>
    </row>
    <row r="9" spans="1:6" ht="12.75">
      <c r="A9" s="34" t="s">
        <v>41</v>
      </c>
      <c r="C9" s="37" t="s">
        <v>68</v>
      </c>
      <c r="D9" s="37"/>
      <c r="E9" s="37"/>
      <c r="F9" s="47"/>
    </row>
    <row r="10" spans="1:6" ht="12.75">
      <c r="A10" s="34" t="s">
        <v>42</v>
      </c>
      <c r="C10" s="35" t="s">
        <v>43</v>
      </c>
      <c r="D10" s="37"/>
      <c r="E10" s="37"/>
      <c r="F10" s="47"/>
    </row>
    <row r="11" spans="1:6" ht="12.75">
      <c r="A11" s="34" t="s">
        <v>44</v>
      </c>
      <c r="C11" s="35" t="s">
        <v>45</v>
      </c>
      <c r="D11" s="36"/>
      <c r="E11" s="108"/>
      <c r="F11" s="47"/>
    </row>
    <row r="12" spans="1:6" ht="7.5" customHeight="1" thickBot="1">
      <c r="A12" s="40"/>
      <c r="B12" s="41"/>
      <c r="C12" s="41"/>
      <c r="D12" s="42"/>
      <c r="E12" s="42"/>
      <c r="F12" s="50"/>
    </row>
    <row r="13" spans="1:6" ht="7.5" customHeight="1" thickTop="1">
      <c r="A13" s="43"/>
      <c r="B13" s="44"/>
      <c r="C13" s="44"/>
      <c r="D13" s="44"/>
      <c r="E13" s="44"/>
      <c r="F13" s="45"/>
    </row>
    <row r="14" spans="1:6" ht="12.75">
      <c r="A14" s="46" t="s">
        <v>46</v>
      </c>
      <c r="C14" s="6" t="s">
        <v>47</v>
      </c>
      <c r="D14" s="6"/>
      <c r="E14" s="6"/>
      <c r="F14" s="47"/>
    </row>
    <row r="15" spans="1:6" ht="15">
      <c r="A15" s="46" t="s">
        <v>48</v>
      </c>
      <c r="C15" s="6" t="s">
        <v>49</v>
      </c>
      <c r="D15" s="6"/>
      <c r="E15" s="6"/>
      <c r="F15" s="47"/>
    </row>
    <row r="16" spans="1:6" ht="15">
      <c r="A16" s="46" t="s">
        <v>50</v>
      </c>
      <c r="C16" s="6" t="s">
        <v>51</v>
      </c>
      <c r="D16" s="6"/>
      <c r="E16" s="6"/>
      <c r="F16" s="47"/>
    </row>
    <row r="17" spans="1:6" ht="7.5" customHeight="1" thickBot="1">
      <c r="A17" s="48"/>
      <c r="B17" s="49"/>
      <c r="C17" s="49"/>
      <c r="D17" s="49"/>
      <c r="E17" s="49"/>
      <c r="F17" s="50"/>
    </row>
    <row r="18" spans="1:6" ht="18" customHeight="1" thickBot="1" thickTop="1">
      <c r="A18" s="51" t="s">
        <v>52</v>
      </c>
      <c r="B18" s="52"/>
      <c r="C18" s="52"/>
      <c r="D18" s="52"/>
      <c r="E18" s="109"/>
      <c r="F18" s="54"/>
    </row>
    <row r="19" spans="1:6" ht="7.5" customHeight="1" thickTop="1">
      <c r="A19" s="43"/>
      <c r="B19" s="44"/>
      <c r="C19" s="44"/>
      <c r="D19" s="44"/>
      <c r="E19" s="44"/>
      <c r="F19" s="45"/>
    </row>
    <row r="20" spans="1:6" ht="15">
      <c r="A20" s="46" t="s">
        <v>75</v>
      </c>
      <c r="B20" s="6"/>
      <c r="C20" s="6"/>
      <c r="D20" s="85">
        <f>+'EF Criteria '!D40</f>
        <v>3582.8</v>
      </c>
      <c r="E20" s="6" t="s">
        <v>45</v>
      </c>
      <c r="F20" s="47"/>
    </row>
    <row r="21" spans="1:6" ht="15">
      <c r="A21" s="46" t="s">
        <v>76</v>
      </c>
      <c r="B21" s="6"/>
      <c r="C21" s="6"/>
      <c r="D21" s="124">
        <f>+'EF Criteria '!E35</f>
        <v>0.409</v>
      </c>
      <c r="E21" s="6" t="s">
        <v>45</v>
      </c>
      <c r="F21" s="47"/>
    </row>
    <row r="22" spans="1:6" ht="15">
      <c r="A22" s="46" t="s">
        <v>123</v>
      </c>
      <c r="B22" s="6"/>
      <c r="C22" s="6"/>
      <c r="D22" s="6" t="s">
        <v>69</v>
      </c>
      <c r="E22" s="6" t="s">
        <v>54</v>
      </c>
      <c r="F22" s="47"/>
    </row>
    <row r="23" spans="1:6" ht="12.75">
      <c r="A23" s="46"/>
      <c r="B23" s="6"/>
      <c r="C23" s="6"/>
      <c r="D23" s="6"/>
      <c r="E23" s="6"/>
      <c r="F23" s="47"/>
    </row>
    <row r="24" spans="1:6" ht="12.75">
      <c r="A24" s="46" t="s">
        <v>55</v>
      </c>
      <c r="B24" s="6"/>
      <c r="C24" s="6"/>
      <c r="D24" s="6">
        <v>24</v>
      </c>
      <c r="E24" s="6" t="s">
        <v>56</v>
      </c>
      <c r="F24" s="47"/>
    </row>
    <row r="25" spans="1:6" ht="12.75">
      <c r="A25" s="57"/>
      <c r="B25" s="6"/>
      <c r="C25" s="6"/>
      <c r="D25" s="6">
        <v>7</v>
      </c>
      <c r="E25" s="6" t="s">
        <v>57</v>
      </c>
      <c r="F25" s="47"/>
    </row>
    <row r="26" spans="1:6" ht="12.75">
      <c r="A26" s="57"/>
      <c r="B26" s="6"/>
      <c r="C26" s="6"/>
      <c r="D26" s="6">
        <v>52</v>
      </c>
      <c r="E26" s="110" t="s">
        <v>58</v>
      </c>
      <c r="F26" s="47"/>
    </row>
    <row r="27" spans="1:6" ht="7.5" customHeight="1" thickBot="1">
      <c r="A27" s="48"/>
      <c r="B27" s="49"/>
      <c r="C27" s="49"/>
      <c r="D27" s="49"/>
      <c r="E27" s="49"/>
      <c r="F27" s="50"/>
    </row>
    <row r="28" spans="1:6" ht="7.5" customHeight="1" thickBot="1" thickTop="1">
      <c r="A28" s="57"/>
      <c r="B28" s="6"/>
      <c r="C28" s="6"/>
      <c r="D28" s="6"/>
      <c r="E28" s="6"/>
      <c r="F28" s="47"/>
    </row>
    <row r="29" spans="1:6" ht="13.5" thickTop="1">
      <c r="A29" s="59"/>
      <c r="B29" s="60" t="s">
        <v>77</v>
      </c>
      <c r="C29" s="61" t="s">
        <v>23</v>
      </c>
      <c r="D29" s="61" t="s">
        <v>171</v>
      </c>
      <c r="E29" s="111" t="s">
        <v>171</v>
      </c>
      <c r="F29" s="86"/>
    </row>
    <row r="30" spans="1:6" ht="12.75">
      <c r="A30" s="64" t="s">
        <v>77</v>
      </c>
      <c r="B30" s="65" t="s">
        <v>78</v>
      </c>
      <c r="C30" s="66" t="s">
        <v>3</v>
      </c>
      <c r="D30" s="66" t="s">
        <v>61</v>
      </c>
      <c r="E30" s="112" t="s">
        <v>61</v>
      </c>
      <c r="F30" s="87"/>
    </row>
    <row r="31" spans="1:6" ht="13.5" thickBot="1">
      <c r="A31" s="69"/>
      <c r="B31" s="70"/>
      <c r="C31" s="71" t="s">
        <v>14</v>
      </c>
      <c r="D31" s="71" t="s">
        <v>62</v>
      </c>
      <c r="E31" s="113" t="s">
        <v>183</v>
      </c>
      <c r="F31" s="88"/>
    </row>
    <row r="32" spans="1:6" ht="13.5" thickTop="1">
      <c r="A32" s="89" t="str">
        <f>'Air Toxics EF'!B14</f>
        <v>1,3-Butadiene</v>
      </c>
      <c r="B32" s="103">
        <f>'Air Toxics EF'!C14</f>
        <v>106990</v>
      </c>
      <c r="C32" s="90">
        <f>'Air Toxics EF'!E14</f>
        <v>0.000127</v>
      </c>
      <c r="D32" s="92">
        <f aca="true" t="shared" si="0" ref="D32:D51">$D$21*C32</f>
        <v>5.1942999999999994E-05</v>
      </c>
      <c r="E32" s="30">
        <f>D32*454/3600</f>
        <v>6.550589444444444E-06</v>
      </c>
      <c r="F32" s="138"/>
    </row>
    <row r="33" spans="1:6" ht="12.75">
      <c r="A33" s="91" t="str">
        <f>'Air Toxics EF'!B19</f>
        <v>Acetaldehyde</v>
      </c>
      <c r="B33" s="104">
        <f>'Air Toxics EF'!C19</f>
        <v>75070</v>
      </c>
      <c r="C33" s="92">
        <f>'Air Toxics EF'!E19</f>
        <v>0.137</v>
      </c>
      <c r="D33" s="92">
        <f t="shared" si="0"/>
        <v>0.056033</v>
      </c>
      <c r="E33" s="114">
        <f aca="true" t="shared" si="1" ref="E33:E51">D33*454/3600</f>
        <v>0.007066383888888889</v>
      </c>
      <c r="F33" s="138"/>
    </row>
    <row r="34" spans="1:6" ht="12.75">
      <c r="A34" s="93" t="str">
        <f>'Air Toxics EF'!B20</f>
        <v>Acrolein</v>
      </c>
      <c r="B34" s="105">
        <f>'Air Toxics EF'!C20</f>
        <v>107028</v>
      </c>
      <c r="C34" s="94">
        <f>'Air Toxics EF'!E20</f>
        <v>0.0189</v>
      </c>
      <c r="D34" s="94">
        <f t="shared" si="0"/>
        <v>0.007730099999999999</v>
      </c>
      <c r="E34" s="115">
        <f t="shared" si="1"/>
        <v>0.0009748515</v>
      </c>
      <c r="F34" s="139"/>
    </row>
    <row r="35" spans="1:6" ht="12.75">
      <c r="A35" s="91" t="s">
        <v>79</v>
      </c>
      <c r="B35" s="134">
        <v>7664417</v>
      </c>
      <c r="C35" s="135">
        <f>+'EF Criteria '!E71</f>
        <v>7.25</v>
      </c>
      <c r="D35" s="136">
        <f t="shared" si="0"/>
        <v>2.9652499999999997</v>
      </c>
      <c r="E35" s="137">
        <f t="shared" si="1"/>
        <v>0.3739509722222222</v>
      </c>
      <c r="F35" s="140"/>
    </row>
    <row r="36" spans="1:6" ht="12.75">
      <c r="A36" s="91" t="str">
        <f>'Air Toxics EF'!B22</f>
        <v>Benz(a)anthracene (PAH)</v>
      </c>
      <c r="B36" s="104">
        <f>'Air Toxics EF'!C22</f>
        <v>56553</v>
      </c>
      <c r="C36" s="92">
        <f>'Air Toxics EF'!E22</f>
        <v>2.26E-05</v>
      </c>
      <c r="D36" s="92">
        <f t="shared" si="0"/>
        <v>9.2434E-06</v>
      </c>
      <c r="E36" s="114">
        <f t="shared" si="1"/>
        <v>1.1656954444444444E-06</v>
      </c>
      <c r="F36" s="138"/>
    </row>
    <row r="37" spans="1:6" ht="12.75">
      <c r="A37" s="91" t="str">
        <f>'Air Toxics EF'!B23</f>
        <v>Benzene</v>
      </c>
      <c r="B37" s="104">
        <f>'Air Toxics EF'!C23</f>
        <v>71432</v>
      </c>
      <c r="C37" s="92">
        <f>'Air Toxics EF'!E23</f>
        <v>0.0133</v>
      </c>
      <c r="D37" s="92">
        <f t="shared" si="0"/>
        <v>0.0054397</v>
      </c>
      <c r="E37" s="114">
        <f t="shared" si="1"/>
        <v>0.0006860066111111111</v>
      </c>
      <c r="F37" s="138"/>
    </row>
    <row r="38" spans="1:6" ht="12.75">
      <c r="A38" s="91" t="str">
        <f>'Air Toxics EF'!B24</f>
        <v>Benzo(a)pyrene (PAH)</v>
      </c>
      <c r="B38" s="104">
        <f>'Air Toxics EF'!C24</f>
        <v>50328</v>
      </c>
      <c r="C38" s="92">
        <f>'Air Toxics EF'!E24</f>
        <v>1.39E-05</v>
      </c>
      <c r="D38" s="92">
        <f t="shared" si="0"/>
        <v>5.6851E-06</v>
      </c>
      <c r="E38" s="114">
        <f t="shared" si="1"/>
        <v>7.169542777777778E-07</v>
      </c>
      <c r="F38" s="138"/>
    </row>
    <row r="39" spans="1:6" ht="12.75">
      <c r="A39" s="93" t="str">
        <f>'Air Toxics EF'!B25</f>
        <v>Benzo(b)fluoranthene (PAH)</v>
      </c>
      <c r="B39" s="105">
        <f>'Air Toxics EF'!C25</f>
        <v>205992</v>
      </c>
      <c r="C39" s="94">
        <f>'Air Toxics EF'!E25</f>
        <v>1.13E-05</v>
      </c>
      <c r="D39" s="92">
        <f t="shared" si="0"/>
        <v>4.6217E-06</v>
      </c>
      <c r="E39" s="115">
        <f t="shared" si="1"/>
        <v>5.828477222222222E-07</v>
      </c>
      <c r="F39" s="138"/>
    </row>
    <row r="40" spans="1:6" ht="12.75">
      <c r="A40" s="95" t="str">
        <f>'Air Toxics EF'!B28</f>
        <v>Benzo(k)fluoranthene (PAH)</v>
      </c>
      <c r="B40" s="96">
        <f>'Air Toxics EF'!C28</f>
        <v>207089</v>
      </c>
      <c r="C40" s="97">
        <f>'Air Toxics EF'!E28</f>
        <v>1.1E-05</v>
      </c>
      <c r="D40" s="97">
        <f t="shared" si="0"/>
        <v>4.499E-06</v>
      </c>
      <c r="E40" s="116">
        <f t="shared" si="1"/>
        <v>5.673738888888888E-07</v>
      </c>
      <c r="F40" s="138"/>
    </row>
    <row r="41" spans="1:6" ht="12.75">
      <c r="A41" s="95" t="str">
        <f>'Air Toxics EF'!B29</f>
        <v>Chrysene (PAH)</v>
      </c>
      <c r="B41" s="96">
        <f>'Air Toxics EF'!C29</f>
        <v>218019</v>
      </c>
      <c r="C41" s="97">
        <f>'Air Toxics EF'!E29</f>
        <v>2.52E-05</v>
      </c>
      <c r="D41" s="97">
        <f t="shared" si="0"/>
        <v>1.03068E-05</v>
      </c>
      <c r="E41" s="116">
        <f t="shared" si="1"/>
        <v>1.2998019999999999E-06</v>
      </c>
      <c r="F41" s="138"/>
    </row>
    <row r="42" spans="1:6" ht="12.75">
      <c r="A42" s="95" t="str">
        <f>'Air Toxics EF'!B30</f>
        <v>Dibenz(a,h)anthracene (PAH)</v>
      </c>
      <c r="B42" s="96">
        <f>'Air Toxics EF'!C30</f>
        <v>53703</v>
      </c>
      <c r="C42" s="97">
        <f>'Air Toxics EF'!E30</f>
        <v>2.35E-05</v>
      </c>
      <c r="D42" s="97">
        <f t="shared" si="0"/>
        <v>9.6115E-06</v>
      </c>
      <c r="E42" s="116">
        <f t="shared" si="1"/>
        <v>1.2121169444444444E-06</v>
      </c>
      <c r="F42" s="138"/>
    </row>
    <row r="43" spans="1:6" ht="12.75">
      <c r="A43" s="95" t="str">
        <f>'Air Toxics EF'!B31</f>
        <v>Ethylbenzene</v>
      </c>
      <c r="B43" s="96">
        <f>'Air Toxics EF'!C31</f>
        <v>100414</v>
      </c>
      <c r="C43" s="97">
        <f>'Air Toxics EF'!E31</f>
        <v>0.0179</v>
      </c>
      <c r="D43" s="97">
        <f t="shared" si="0"/>
        <v>0.0073211</v>
      </c>
      <c r="E43" s="116">
        <f t="shared" si="1"/>
        <v>0.0009232720555555555</v>
      </c>
      <c r="F43" s="138"/>
    </row>
    <row r="44" spans="1:6" ht="12.75">
      <c r="A44" s="95" t="str">
        <f>'Air Toxics EF'!B34</f>
        <v>Formaldehyde</v>
      </c>
      <c r="B44" s="96">
        <f>'Air Toxics EF'!C34</f>
        <v>50000</v>
      </c>
      <c r="C44" s="97">
        <f>'Air Toxics EF'!E34</f>
        <v>0.917</v>
      </c>
      <c r="D44" s="97">
        <f t="shared" si="0"/>
        <v>0.37505299999999997</v>
      </c>
      <c r="E44" s="116">
        <f t="shared" si="1"/>
        <v>0.04729835055555555</v>
      </c>
      <c r="F44" s="138"/>
    </row>
    <row r="45" spans="1:6" ht="12.75">
      <c r="A45" s="95" t="str">
        <f>'Air Toxics EF'!B35</f>
        <v>Hexane</v>
      </c>
      <c r="B45" s="96">
        <f>'Air Toxics EF'!C35</f>
        <v>110543</v>
      </c>
      <c r="C45" s="97">
        <f>'Air Toxics EF'!E35</f>
        <v>0.259</v>
      </c>
      <c r="D45" s="97">
        <f t="shared" si="0"/>
        <v>0.105931</v>
      </c>
      <c r="E45" s="116">
        <f t="shared" si="1"/>
        <v>0.013359076111111113</v>
      </c>
      <c r="F45" s="138"/>
    </row>
    <row r="46" spans="1:6" ht="12.75">
      <c r="A46" s="95" t="str">
        <f>'Air Toxics EF'!B36</f>
        <v>Indeno(1,2,3-cd)pyrene (PAH)</v>
      </c>
      <c r="B46" s="96">
        <f>'Air Toxics EF'!C36</f>
        <v>193395</v>
      </c>
      <c r="C46" s="97">
        <f>'Air Toxics EF'!E36</f>
        <v>2.35E-05</v>
      </c>
      <c r="D46" s="97">
        <f t="shared" si="0"/>
        <v>9.6115E-06</v>
      </c>
      <c r="E46" s="116">
        <f t="shared" si="1"/>
        <v>1.2121169444444444E-06</v>
      </c>
      <c r="F46" s="138"/>
    </row>
    <row r="47" spans="1:6" ht="12.75">
      <c r="A47" s="95" t="str">
        <f>'Air Toxics EF'!B37</f>
        <v>Naphthalene (PAH)</v>
      </c>
      <c r="B47" s="96">
        <f>'Air Toxics EF'!C37</f>
        <v>91203</v>
      </c>
      <c r="C47" s="97">
        <f>'Air Toxics EF'!E37</f>
        <v>0.00166</v>
      </c>
      <c r="D47" s="97">
        <f t="shared" si="0"/>
        <v>0.00067894</v>
      </c>
      <c r="E47" s="116">
        <f t="shared" si="1"/>
        <v>8.562187777777778E-05</v>
      </c>
      <c r="F47" s="138"/>
    </row>
    <row r="48" spans="1:6" ht="12.75">
      <c r="A48" s="95" t="str">
        <f>'Air Toxics EF'!B40</f>
        <v>Propylene</v>
      </c>
      <c r="B48" s="96">
        <f>'Air Toxics EF'!C40</f>
        <v>115071</v>
      </c>
      <c r="C48" s="97">
        <f>'Air Toxics EF'!E40</f>
        <v>0.771</v>
      </c>
      <c r="D48" s="97">
        <f t="shared" si="0"/>
        <v>0.315339</v>
      </c>
      <c r="E48" s="116">
        <f t="shared" si="1"/>
        <v>0.03976775166666666</v>
      </c>
      <c r="F48" s="138"/>
    </row>
    <row r="49" spans="1:6" ht="12.75">
      <c r="A49" s="95" t="str">
        <f>'Air Toxics EF'!B41</f>
        <v>Propylene Oxide</v>
      </c>
      <c r="B49" s="96">
        <f>'Air Toxics EF'!C41</f>
        <v>75569</v>
      </c>
      <c r="C49" s="97">
        <f>'Air Toxics EF'!E41</f>
        <v>0.0478</v>
      </c>
      <c r="D49" s="97">
        <f t="shared" si="0"/>
        <v>0.0195502</v>
      </c>
      <c r="E49" s="116">
        <f t="shared" si="1"/>
        <v>0.0024654974444444444</v>
      </c>
      <c r="F49" s="138"/>
    </row>
    <row r="50" spans="1:6" ht="12.75">
      <c r="A50" s="95" t="str">
        <f>'Air Toxics EF'!B43</f>
        <v>Toluene</v>
      </c>
      <c r="B50" s="96">
        <f>'Air Toxics EF'!C43</f>
        <v>108883</v>
      </c>
      <c r="C50" s="97">
        <f>'Air Toxics EF'!E43</f>
        <v>0.071</v>
      </c>
      <c r="D50" s="97">
        <f t="shared" si="0"/>
        <v>0.029038999999999995</v>
      </c>
      <c r="E50" s="116">
        <f t="shared" si="1"/>
        <v>0.0036621405555555546</v>
      </c>
      <c r="F50" s="138"/>
    </row>
    <row r="51" spans="1:6" ht="13.5" thickBot="1">
      <c r="A51" s="147" t="str">
        <f>'Air Toxics EF'!B44</f>
        <v>Xylene(Total)</v>
      </c>
      <c r="B51" s="98">
        <f>'Air Toxics EF'!C44</f>
        <v>1330207</v>
      </c>
      <c r="C51" s="99">
        <f>'Air Toxics EF'!E44</f>
        <v>0.0261</v>
      </c>
      <c r="D51" s="99">
        <f t="shared" si="0"/>
        <v>0.0106749</v>
      </c>
      <c r="E51" s="117">
        <f t="shared" si="1"/>
        <v>0.0013462234999999999</v>
      </c>
      <c r="F51" s="141"/>
    </row>
    <row r="52" spans="1:5" ht="13.5" thickTop="1">
      <c r="A52" s="121" t="s">
        <v>154</v>
      </c>
      <c r="B52" s="101"/>
      <c r="C52" s="101"/>
      <c r="D52" s="101"/>
      <c r="E52" s="102"/>
    </row>
    <row r="53" ht="12.75">
      <c r="A53" t="s">
        <v>82</v>
      </c>
    </row>
    <row r="54" spans="1:5" ht="12.75">
      <c r="A54" t="s">
        <v>83</v>
      </c>
      <c r="E54" s="80"/>
    </row>
    <row r="55" ht="12.75">
      <c r="A55" s="81" t="s">
        <v>81</v>
      </c>
    </row>
    <row r="56" ht="12.75">
      <c r="A56" s="81" t="s">
        <v>84</v>
      </c>
    </row>
    <row r="57" ht="12.75">
      <c r="A57" t="s">
        <v>80</v>
      </c>
    </row>
    <row r="58" ht="15">
      <c r="A58" s="82"/>
    </row>
    <row r="61" ht="12.75">
      <c r="A61"/>
    </row>
    <row r="62" ht="15">
      <c r="A62" s="82"/>
    </row>
    <row r="64" ht="3" customHeight="1"/>
  </sheetData>
  <sheetProtection/>
  <printOptions horizontalCentered="1"/>
  <pageMargins left="0.75" right="0.75" top="1" bottom="1" header="0.5" footer="0.5"/>
  <pageSetup fitToHeight="1" fitToWidth="1" horizontalDpi="600" verticalDpi="600" orientation="portrait" scale="88" r:id="rId1"/>
  <headerFooter alignWithMargins="0">
    <oddFooter>&amp;L&amp;8K:\reports\R1350\valley\&amp;F\&amp;A&amp;C&amp;P of &amp;N&amp;R&amp;6&amp;D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zoomScalePageLayoutView="0" workbookViewId="0" topLeftCell="A89">
      <selection activeCell="A92" sqref="A92:IV97"/>
    </sheetView>
  </sheetViews>
  <sheetFormatPr defaultColWidth="9.140625" defaultRowHeight="12.75"/>
  <cols>
    <col min="1" max="7" width="13.7109375" style="0" customWidth="1"/>
  </cols>
  <sheetData>
    <row r="1" spans="1:7" ht="17.25">
      <c r="A1" s="216" t="s">
        <v>185</v>
      </c>
      <c r="B1" s="217"/>
      <c r="C1" s="217"/>
      <c r="D1" s="217"/>
      <c r="E1" s="217"/>
      <c r="F1" s="217"/>
      <c r="G1" s="218"/>
    </row>
    <row r="2" spans="1:7" ht="17.25">
      <c r="A2" s="221" t="s">
        <v>186</v>
      </c>
      <c r="B2" s="222"/>
      <c r="C2" s="222"/>
      <c r="D2" s="222"/>
      <c r="E2" s="222"/>
      <c r="F2" s="222"/>
      <c r="G2" s="223"/>
    </row>
    <row r="3" spans="1:7" ht="17.25">
      <c r="A3" s="221" t="s">
        <v>187</v>
      </c>
      <c r="B3" s="222"/>
      <c r="C3" s="222"/>
      <c r="D3" s="222"/>
      <c r="E3" s="222"/>
      <c r="F3" s="222"/>
      <c r="G3" s="223"/>
    </row>
    <row r="4" spans="1:7" ht="13.5" thickBot="1">
      <c r="A4" s="158"/>
      <c r="B4" s="159"/>
      <c r="C4" s="159"/>
      <c r="D4" s="159"/>
      <c r="E4" s="159"/>
      <c r="F4" s="159"/>
      <c r="G4" s="160"/>
    </row>
    <row r="5" spans="1:7" ht="12.75">
      <c r="A5" s="3"/>
      <c r="B5" s="4"/>
      <c r="C5" s="4"/>
      <c r="D5" s="4"/>
      <c r="E5" s="4"/>
      <c r="F5" s="4"/>
      <c r="G5" s="131"/>
    </row>
    <row r="6" spans="1:7" ht="15">
      <c r="A6" s="5" t="s">
        <v>133</v>
      </c>
      <c r="B6" s="6"/>
      <c r="C6" s="6"/>
      <c r="D6" s="6"/>
      <c r="E6" s="6"/>
      <c r="F6" s="6"/>
      <c r="G6" s="132"/>
    </row>
    <row r="7" spans="1:7" ht="15">
      <c r="A7" s="5" t="s">
        <v>19</v>
      </c>
      <c r="B7" s="6"/>
      <c r="C7" s="6"/>
      <c r="D7" s="6"/>
      <c r="E7" s="6"/>
      <c r="F7" s="6"/>
      <c r="G7" s="132"/>
    </row>
    <row r="8" spans="1:7" ht="15">
      <c r="A8" s="5" t="s">
        <v>134</v>
      </c>
      <c r="B8" s="6"/>
      <c r="C8" s="6"/>
      <c r="D8" s="6"/>
      <c r="E8" s="6"/>
      <c r="F8" s="6"/>
      <c r="G8" s="132"/>
    </row>
    <row r="9" spans="1:7" ht="12.75">
      <c r="A9" s="5" t="s">
        <v>24</v>
      </c>
      <c r="B9" s="6"/>
      <c r="C9" s="6"/>
      <c r="D9" s="6"/>
      <c r="E9" s="6"/>
      <c r="F9" s="6"/>
      <c r="G9" s="132"/>
    </row>
    <row r="10" spans="1:7" ht="16.5">
      <c r="A10" s="5" t="s">
        <v>173</v>
      </c>
      <c r="B10" s="6"/>
      <c r="C10" s="6"/>
      <c r="D10" s="6"/>
      <c r="E10" s="6"/>
      <c r="F10" s="6"/>
      <c r="G10" s="132"/>
    </row>
    <row r="11" spans="1:7" ht="15">
      <c r="A11" s="5" t="s">
        <v>25</v>
      </c>
      <c r="B11" s="6"/>
      <c r="C11" s="6"/>
      <c r="D11" s="6"/>
      <c r="E11" s="6"/>
      <c r="F11" s="6"/>
      <c r="G11" s="132"/>
    </row>
    <row r="12" spans="1:7" ht="15.75" thickBot="1">
      <c r="A12" s="7" t="s">
        <v>174</v>
      </c>
      <c r="B12" s="8"/>
      <c r="C12" s="8"/>
      <c r="D12" s="8"/>
      <c r="E12" s="8"/>
      <c r="F12" s="8"/>
      <c r="G12" s="133"/>
    </row>
    <row r="13" spans="1:7" ht="12.75">
      <c r="A13" s="6"/>
      <c r="B13" s="6"/>
      <c r="C13" s="6"/>
      <c r="D13" s="6"/>
      <c r="E13" s="6"/>
      <c r="F13" s="6"/>
      <c r="G13" s="6"/>
    </row>
    <row r="14" spans="1:7" ht="12.75">
      <c r="A14" s="9" t="s">
        <v>161</v>
      </c>
      <c r="D14" s="6"/>
      <c r="E14" s="6"/>
      <c r="F14" s="6"/>
      <c r="G14" s="6"/>
    </row>
    <row r="15" spans="4:7" ht="12.75">
      <c r="D15" s="6"/>
      <c r="E15" s="6"/>
      <c r="F15" s="6"/>
      <c r="G15" s="6"/>
    </row>
    <row r="16" spans="2:7" ht="15">
      <c r="B16" s="119" t="s">
        <v>162</v>
      </c>
      <c r="C16" s="119" t="s">
        <v>170</v>
      </c>
      <c r="D16" s="146" t="s">
        <v>131</v>
      </c>
      <c r="E16" s="145" t="s">
        <v>163</v>
      </c>
      <c r="F16" s="6"/>
      <c r="G16" s="6"/>
    </row>
    <row r="17" spans="2:7" ht="12.75">
      <c r="B17" s="143" t="s">
        <v>164</v>
      </c>
      <c r="C17" s="143">
        <v>94</v>
      </c>
      <c r="D17" s="144">
        <v>16</v>
      </c>
      <c r="E17" s="145">
        <f>ROUND(C17*D17/100,1)</f>
        <v>15</v>
      </c>
      <c r="F17" s="6"/>
      <c r="G17" s="6"/>
    </row>
    <row r="18" spans="2:7" ht="12.75">
      <c r="B18" s="143" t="s">
        <v>165</v>
      </c>
      <c r="C18" s="143">
        <v>3</v>
      </c>
      <c r="D18" s="144">
        <v>30</v>
      </c>
      <c r="E18" s="145">
        <f>ROUND(C18*D18/100,1)</f>
        <v>0.9</v>
      </c>
      <c r="F18" s="6"/>
      <c r="G18" s="6"/>
    </row>
    <row r="19" spans="2:7" ht="12.75">
      <c r="B19" s="143" t="s">
        <v>166</v>
      </c>
      <c r="C19" s="143">
        <v>2</v>
      </c>
      <c r="D19" s="144">
        <v>44</v>
      </c>
      <c r="E19" s="145">
        <f>ROUND(C19*D19/100,1)</f>
        <v>0.9</v>
      </c>
      <c r="F19" s="6"/>
      <c r="G19" s="6"/>
    </row>
    <row r="20" spans="2:7" ht="15">
      <c r="B20" s="143" t="s">
        <v>168</v>
      </c>
      <c r="C20" s="143">
        <v>1</v>
      </c>
      <c r="D20" s="144">
        <v>44</v>
      </c>
      <c r="E20" s="145">
        <f>ROUND(C20*D20/100,1)</f>
        <v>0.4</v>
      </c>
      <c r="F20" s="6"/>
      <c r="G20" s="6"/>
    </row>
    <row r="21" spans="2:7" ht="12.75">
      <c r="B21" s="143"/>
      <c r="C21" s="143"/>
      <c r="D21" s="144"/>
      <c r="E21" s="145"/>
      <c r="F21" s="6"/>
      <c r="G21" s="6"/>
    </row>
    <row r="22" spans="2:7" ht="12.75">
      <c r="B22" s="1" t="s">
        <v>167</v>
      </c>
      <c r="C22" s="2"/>
      <c r="D22" s="55"/>
      <c r="E22" s="14">
        <f>SUM(E17:E21)</f>
        <v>17.2</v>
      </c>
      <c r="F22" s="6"/>
      <c r="G22" s="6"/>
    </row>
    <row r="23" spans="1:7" ht="12.75">
      <c r="A23" s="6"/>
      <c r="B23" s="6"/>
      <c r="C23" s="6"/>
      <c r="D23" s="6"/>
      <c r="E23" s="6"/>
      <c r="F23" s="6"/>
      <c r="G23" s="6"/>
    </row>
    <row r="24" spans="4:7" ht="12.75">
      <c r="D24" s="6"/>
      <c r="E24" s="6"/>
      <c r="F24" s="6"/>
      <c r="G24" s="6"/>
    </row>
    <row r="25" spans="1:5" ht="12.75">
      <c r="A25" s="219" t="s">
        <v>135</v>
      </c>
      <c r="B25" s="219"/>
      <c r="C25" s="219"/>
      <c r="D25" s="219"/>
      <c r="E25" s="219"/>
    </row>
    <row r="26" spans="4:5" ht="12.75">
      <c r="D26" s="1"/>
      <c r="E26" s="1"/>
    </row>
    <row r="27" ht="12.75">
      <c r="A27" s="9" t="s">
        <v>0</v>
      </c>
    </row>
    <row r="29" spans="1:5" ht="12.75">
      <c r="A29" s="1" t="s">
        <v>1</v>
      </c>
      <c r="B29" s="1" t="s">
        <v>2</v>
      </c>
      <c r="C29" s="1" t="s">
        <v>3</v>
      </c>
      <c r="D29" s="1" t="s">
        <v>4</v>
      </c>
      <c r="E29" s="1" t="s">
        <v>5</v>
      </c>
    </row>
    <row r="30" spans="1:5" ht="12.75">
      <c r="A30" s="1" t="s">
        <v>6</v>
      </c>
      <c r="B30" s="1" t="s">
        <v>7</v>
      </c>
      <c r="C30" s="1" t="s">
        <v>8</v>
      </c>
      <c r="D30" s="1" t="s">
        <v>9</v>
      </c>
      <c r="E30" s="1" t="s">
        <v>9</v>
      </c>
    </row>
    <row r="31" spans="1:5" ht="12.75">
      <c r="A31" s="10">
        <f>B31*C31</f>
        <v>390225000</v>
      </c>
      <c r="B31" s="2">
        <v>47300</v>
      </c>
      <c r="C31" s="2">
        <v>8250</v>
      </c>
      <c r="D31" s="2">
        <v>953</v>
      </c>
      <c r="E31" s="2">
        <v>1050</v>
      </c>
    </row>
    <row r="32" ht="12.75">
      <c r="A32" s="11"/>
    </row>
    <row r="33" ht="12.75">
      <c r="A33" s="19" t="s">
        <v>119</v>
      </c>
    </row>
    <row r="34" ht="12.75">
      <c r="A34" s="11"/>
    </row>
    <row r="35" spans="1:6" ht="12.75">
      <c r="A35" s="19" t="s">
        <v>120</v>
      </c>
      <c r="E35" s="9">
        <f>ROUND(A31/(D31*1000000),3)</f>
        <v>0.409</v>
      </c>
      <c r="F35" s="9" t="s">
        <v>122</v>
      </c>
    </row>
    <row r="36" spans="1:5" ht="12.75">
      <c r="A36" s="19"/>
      <c r="E36" s="9"/>
    </row>
    <row r="37" spans="1:5" ht="12.75">
      <c r="A37" s="19" t="s">
        <v>26</v>
      </c>
      <c r="E37" s="9"/>
    </row>
    <row r="38" spans="1:5" ht="12.75">
      <c r="A38" s="20" t="s">
        <v>27</v>
      </c>
      <c r="E38" s="9"/>
    </row>
    <row r="39" spans="1:5" ht="12.75">
      <c r="A39" s="20"/>
      <c r="E39" s="9"/>
    </row>
    <row r="40" spans="1:5" ht="12.75">
      <c r="A40" s="19" t="s">
        <v>28</v>
      </c>
      <c r="D40" s="9">
        <f>ROUND(E35*8760,1)</f>
        <v>3582.8</v>
      </c>
      <c r="E40" s="9" t="s">
        <v>121</v>
      </c>
    </row>
    <row r="42" spans="1:5" ht="15">
      <c r="A42" s="9" t="s">
        <v>21</v>
      </c>
      <c r="B42" s="9"/>
      <c r="C42" s="9"/>
      <c r="D42" s="9"/>
      <c r="E42" s="9"/>
    </row>
    <row r="44" spans="1:5" ht="15">
      <c r="A44" s="127" t="s">
        <v>153</v>
      </c>
      <c r="B44" s="14"/>
      <c r="C44" s="12"/>
      <c r="E44" s="13"/>
    </row>
    <row r="45" spans="1:8" ht="12.75">
      <c r="A45" s="126"/>
      <c r="B45" s="14"/>
      <c r="C45" s="220" t="s">
        <v>155</v>
      </c>
      <c r="D45" s="220"/>
      <c r="E45" s="13"/>
      <c r="F45" s="13"/>
      <c r="G45" s="13"/>
      <c r="H45" s="13"/>
    </row>
    <row r="46" spans="1:8" ht="12.75">
      <c r="A46" s="126"/>
      <c r="C46" s="13"/>
      <c r="D46" s="13"/>
      <c r="E46" s="13"/>
      <c r="F46" s="13"/>
      <c r="G46" s="13"/>
      <c r="H46" s="13"/>
    </row>
    <row r="47" spans="1:8" ht="12.75">
      <c r="A47" s="126"/>
      <c r="B47" s="9"/>
      <c r="C47" s="9"/>
      <c r="D47" s="9"/>
      <c r="E47" s="9"/>
      <c r="F47" s="13"/>
      <c r="G47" s="13"/>
      <c r="H47" s="13"/>
    </row>
    <row r="48" spans="1:7" ht="16.5">
      <c r="A48" s="127" t="s">
        <v>175</v>
      </c>
      <c r="B48" s="9"/>
      <c r="C48" s="9"/>
      <c r="D48" s="9"/>
      <c r="E48" s="9"/>
      <c r="F48" s="1"/>
      <c r="G48" s="1"/>
    </row>
    <row r="49" spans="1:7" ht="12.75">
      <c r="A49" s="126"/>
      <c r="B49" s="9"/>
      <c r="C49" s="9"/>
      <c r="D49" s="9"/>
      <c r="E49" s="9"/>
      <c r="F49" s="1"/>
      <c r="G49" s="1"/>
    </row>
    <row r="50" spans="1:7" ht="12.75">
      <c r="A50" s="126"/>
      <c r="B50" s="9"/>
      <c r="C50" s="9"/>
      <c r="D50" s="9"/>
      <c r="E50" s="9"/>
      <c r="F50" s="1"/>
      <c r="G50" s="1"/>
    </row>
    <row r="51" spans="1:7" ht="12.75">
      <c r="A51" s="128"/>
      <c r="C51" s="9"/>
      <c r="D51" s="9"/>
      <c r="E51" s="9"/>
      <c r="F51" s="125"/>
      <c r="G51" s="129"/>
    </row>
    <row r="52" spans="1:11" ht="12.75">
      <c r="A52" s="9"/>
      <c r="C52" s="9"/>
      <c r="D52" s="9"/>
      <c r="E52" s="9"/>
      <c r="F52" s="9"/>
      <c r="G52" s="9"/>
      <c r="J52" s="6"/>
      <c r="K52" s="14"/>
    </row>
    <row r="53" spans="1:11" ht="12.75">
      <c r="A53" s="1" t="s">
        <v>10</v>
      </c>
      <c r="B53" s="126" t="s">
        <v>128</v>
      </c>
      <c r="C53" s="126" t="s">
        <v>130</v>
      </c>
      <c r="D53" s="1" t="s">
        <v>125</v>
      </c>
      <c r="E53" s="1" t="s">
        <v>131</v>
      </c>
      <c r="F53" s="1" t="s">
        <v>127</v>
      </c>
      <c r="G53" s="1" t="s">
        <v>11</v>
      </c>
      <c r="J53" s="6"/>
      <c r="K53" s="6"/>
    </row>
    <row r="54" spans="2:7" ht="12.75">
      <c r="B54" s="126" t="s">
        <v>129</v>
      </c>
      <c r="C54" s="126" t="s">
        <v>126</v>
      </c>
      <c r="D54" s="1" t="s">
        <v>20</v>
      </c>
      <c r="E54" s="1" t="s">
        <v>124</v>
      </c>
      <c r="F54" s="1" t="s">
        <v>132</v>
      </c>
      <c r="G54" s="1" t="s">
        <v>15</v>
      </c>
    </row>
    <row r="56" spans="1:7" ht="15">
      <c r="A56" s="13" t="s">
        <v>18</v>
      </c>
      <c r="B56" s="2">
        <v>15</v>
      </c>
      <c r="C56" s="126">
        <f>8710*20.9/(20.9-B56)</f>
        <v>30854.067796610176</v>
      </c>
      <c r="D56" s="2">
        <v>5</v>
      </c>
      <c r="E56" s="130">
        <v>46</v>
      </c>
      <c r="F56" s="129">
        <f>ROUND($E$35,3)</f>
        <v>0.409</v>
      </c>
      <c r="G56" s="1">
        <f>ROUND(C56*D56*E56/(1000000*379),4)</f>
        <v>0.0187</v>
      </c>
    </row>
    <row r="57" spans="1:7" ht="12.75">
      <c r="A57" t="s">
        <v>12</v>
      </c>
      <c r="B57" s="2">
        <v>15</v>
      </c>
      <c r="C57" s="126">
        <f>8710*20.9/(20.9-B57)</f>
        <v>30854.067796610176</v>
      </c>
      <c r="D57" s="2">
        <v>6</v>
      </c>
      <c r="E57" s="130">
        <v>28</v>
      </c>
      <c r="F57" s="129">
        <f>ROUND($E$35,3)</f>
        <v>0.409</v>
      </c>
      <c r="G57" s="1">
        <f>ROUND(C57*D57*E57/(1000000*379),4)</f>
        <v>0.0137</v>
      </c>
    </row>
    <row r="58" spans="1:7" ht="15">
      <c r="A58" t="s">
        <v>17</v>
      </c>
      <c r="B58" s="2">
        <v>15</v>
      </c>
      <c r="C58" s="126">
        <f>8710*20.9/(20.9-B58)</f>
        <v>30854.067796610176</v>
      </c>
      <c r="D58" s="2">
        <v>2</v>
      </c>
      <c r="E58" s="130">
        <v>16</v>
      </c>
      <c r="F58" s="129">
        <f>ROUND($E$35,3)</f>
        <v>0.409</v>
      </c>
      <c r="G58" s="1">
        <f>ROUND(C58*D58*E58/(1000000*379),4)</f>
        <v>0.0026</v>
      </c>
    </row>
    <row r="59" spans="1:7" ht="15">
      <c r="A59" t="s">
        <v>16</v>
      </c>
      <c r="B59" s="2">
        <v>15</v>
      </c>
      <c r="C59" s="126">
        <f>8710*20.9/(20.9-B59)</f>
        <v>30854.067796610176</v>
      </c>
      <c r="D59" s="2">
        <v>5</v>
      </c>
      <c r="E59" s="130">
        <v>17</v>
      </c>
      <c r="F59" s="129">
        <f>ROUND($E$35,3)</f>
        <v>0.409</v>
      </c>
      <c r="G59" s="1">
        <f>ROUND(C59*D59*E59/(1000000*379),4)</f>
        <v>0.0069</v>
      </c>
    </row>
    <row r="63" ht="12.75">
      <c r="A63" s="9" t="s">
        <v>34</v>
      </c>
    </row>
    <row r="64" spans="1:5" ht="12.75">
      <c r="A64" s="16"/>
      <c r="B64" s="16"/>
      <c r="C64" s="16"/>
      <c r="D64" s="16"/>
      <c r="E64" s="16"/>
    </row>
    <row r="65" spans="2:6" ht="12.75">
      <c r="B65" s="1" t="s">
        <v>10</v>
      </c>
      <c r="C65" s="1" t="s">
        <v>11</v>
      </c>
      <c r="D65" s="1" t="s">
        <v>5</v>
      </c>
      <c r="E65" s="1" t="s">
        <v>13</v>
      </c>
      <c r="F65" s="1"/>
    </row>
    <row r="66" spans="2:6" ht="12.75">
      <c r="B66" s="1"/>
      <c r="C66" s="1" t="s">
        <v>15</v>
      </c>
      <c r="D66" s="1" t="s">
        <v>9</v>
      </c>
      <c r="E66" s="1" t="s">
        <v>14</v>
      </c>
      <c r="F66" s="1"/>
    </row>
    <row r="68" spans="2:6" ht="15">
      <c r="B68" s="13" t="s">
        <v>18</v>
      </c>
      <c r="C68" s="15">
        <f>G56</f>
        <v>0.0187</v>
      </c>
      <c r="D68" s="2">
        <v>1050</v>
      </c>
      <c r="E68" s="17">
        <f>ROUND(D68*C68,2)</f>
        <v>19.64</v>
      </c>
      <c r="F68" s="17"/>
    </row>
    <row r="69" spans="2:6" ht="12.75">
      <c r="B69" s="13" t="s">
        <v>12</v>
      </c>
      <c r="C69" s="15">
        <f>G57</f>
        <v>0.0137</v>
      </c>
      <c r="D69" s="2">
        <v>1050</v>
      </c>
      <c r="E69" s="17">
        <f>ROUND(D69*C69,2)</f>
        <v>14.39</v>
      </c>
      <c r="F69" s="17"/>
    </row>
    <row r="70" spans="2:6" ht="15">
      <c r="B70" s="13" t="s">
        <v>22</v>
      </c>
      <c r="C70" s="15">
        <f>G58</f>
        <v>0.0026</v>
      </c>
      <c r="D70" s="2">
        <v>1050</v>
      </c>
      <c r="E70" s="17">
        <f>ROUND(D70*C70,2)</f>
        <v>2.73</v>
      </c>
      <c r="F70" s="17"/>
    </row>
    <row r="71" spans="2:6" ht="15">
      <c r="B71" s="13" t="s">
        <v>16</v>
      </c>
      <c r="C71" s="15">
        <f>G59</f>
        <v>0.0069</v>
      </c>
      <c r="D71" s="2">
        <v>1050</v>
      </c>
      <c r="E71" s="17">
        <f>ROUND(D71*C71,2)</f>
        <v>7.25</v>
      </c>
      <c r="F71" s="17"/>
    </row>
    <row r="72" spans="2:6" ht="12.75">
      <c r="B72" s="13"/>
      <c r="C72" s="15"/>
      <c r="D72" s="2"/>
      <c r="E72" s="17"/>
      <c r="F72" s="17"/>
    </row>
    <row r="73" spans="2:6" ht="12.75">
      <c r="B73" s="13"/>
      <c r="C73" s="15"/>
      <c r="D73" s="2"/>
      <c r="E73" s="17"/>
      <c r="F73" s="17"/>
    </row>
    <row r="74" spans="1:6" ht="15">
      <c r="A74" s="9" t="s">
        <v>35</v>
      </c>
      <c r="B74" s="9"/>
      <c r="C74" s="18"/>
      <c r="D74" s="1"/>
      <c r="E74" s="17"/>
      <c r="F74" s="17"/>
    </row>
    <row r="75" spans="1:6" ht="12.75">
      <c r="A75" s="9"/>
      <c r="B75" s="9"/>
      <c r="C75" s="18"/>
      <c r="D75" s="1"/>
      <c r="E75" s="17"/>
      <c r="F75" s="17"/>
    </row>
    <row r="76" spans="1:6" ht="12.75">
      <c r="A76" s="9"/>
      <c r="B76" s="9" t="s">
        <v>10</v>
      </c>
      <c r="C76" s="18" t="s">
        <v>23</v>
      </c>
      <c r="D76" s="1" t="s">
        <v>5</v>
      </c>
      <c r="E76" s="18" t="s">
        <v>23</v>
      </c>
      <c r="F76" s="17" t="s">
        <v>29</v>
      </c>
    </row>
    <row r="77" spans="1:6" ht="12.75">
      <c r="A77" s="9"/>
      <c r="B77" s="9"/>
      <c r="C77" s="18" t="s">
        <v>3</v>
      </c>
      <c r="D77" s="1" t="s">
        <v>9</v>
      </c>
      <c r="E77" s="18" t="s">
        <v>3</v>
      </c>
      <c r="F77" s="17"/>
    </row>
    <row r="78" spans="2:6" ht="12.75">
      <c r="B78" s="13"/>
      <c r="C78" s="18" t="s">
        <v>15</v>
      </c>
      <c r="D78" s="2"/>
      <c r="E78" s="18" t="s">
        <v>14</v>
      </c>
      <c r="F78" s="17" t="s">
        <v>30</v>
      </c>
    </row>
    <row r="79" spans="2:6" ht="12.75">
      <c r="B79" s="13"/>
      <c r="C79" s="18"/>
      <c r="D79" s="2"/>
      <c r="E79" s="17"/>
      <c r="F79" s="17"/>
    </row>
    <row r="80" spans="2:6" ht="15">
      <c r="B80" s="13" t="s">
        <v>113</v>
      </c>
      <c r="C80" s="2">
        <v>0.0066</v>
      </c>
      <c r="D80" s="2">
        <v>1050</v>
      </c>
      <c r="E80" s="17">
        <f>ROUND(D80*C80,2)</f>
        <v>6.93</v>
      </c>
      <c r="F80" s="122" t="s">
        <v>31</v>
      </c>
    </row>
    <row r="81" spans="2:6" ht="16.5">
      <c r="B81" s="13" t="s">
        <v>114</v>
      </c>
      <c r="C81" s="2" t="s">
        <v>36</v>
      </c>
      <c r="D81" s="2">
        <v>1050</v>
      </c>
      <c r="E81" s="17">
        <f>ROUND(D81*0.94*F81,2)</f>
        <v>1.48</v>
      </c>
      <c r="F81" s="123">
        <f>+F89</f>
        <v>0.0015</v>
      </c>
    </row>
    <row r="84" ht="12.75">
      <c r="A84" s="9" t="s">
        <v>115</v>
      </c>
    </row>
    <row r="86" ht="15">
      <c r="B86" s="9" t="s">
        <v>116</v>
      </c>
    </row>
    <row r="88" spans="2:6" ht="28.5">
      <c r="B88" s="119"/>
      <c r="C88" s="119" t="s">
        <v>169</v>
      </c>
      <c r="D88" s="120" t="s">
        <v>112</v>
      </c>
      <c r="E88" s="118" t="s">
        <v>159</v>
      </c>
      <c r="F88" s="119" t="s">
        <v>111</v>
      </c>
    </row>
    <row r="89" spans="2:6" ht="12.75">
      <c r="B89" s="1"/>
      <c r="C89" s="2">
        <v>8</v>
      </c>
      <c r="D89" s="2">
        <v>32</v>
      </c>
      <c r="E89" s="2">
        <f>E22</f>
        <v>17.2</v>
      </c>
      <c r="F89" s="1">
        <f>ROUND((C89*D89*100)/(E89*1000000),4)</f>
        <v>0.0015</v>
      </c>
    </row>
    <row r="90" spans="2:6" ht="12.75">
      <c r="B90" s="1"/>
      <c r="C90" s="2"/>
      <c r="D90" s="2"/>
      <c r="E90" s="2"/>
      <c r="F90" s="1"/>
    </row>
    <row r="91" spans="2:6" ht="12.75">
      <c r="B91" s="1"/>
      <c r="C91" s="2"/>
      <c r="D91" s="2"/>
      <c r="E91" s="2"/>
      <c r="F91" s="1"/>
    </row>
    <row r="92" spans="1:6" ht="15">
      <c r="A92" s="9" t="s">
        <v>248</v>
      </c>
      <c r="B92" s="1"/>
      <c r="C92" s="2"/>
      <c r="D92" s="2"/>
      <c r="E92" s="2"/>
      <c r="F92" s="1"/>
    </row>
    <row r="93" spans="1:6" ht="16.5">
      <c r="A93" s="9" t="s">
        <v>249</v>
      </c>
      <c r="B93" s="1"/>
      <c r="C93" s="2"/>
      <c r="D93" s="2"/>
      <c r="E93" s="2"/>
      <c r="F93" s="1"/>
    </row>
    <row r="94" spans="1:6" ht="14.25" customHeight="1">
      <c r="A94" s="9" t="s">
        <v>250</v>
      </c>
      <c r="B94" s="1"/>
      <c r="C94" s="2"/>
      <c r="D94" s="2"/>
      <c r="E94" s="2"/>
      <c r="F94" s="1"/>
    </row>
    <row r="95" spans="2:6" ht="15">
      <c r="B95" s="1" t="s">
        <v>72</v>
      </c>
      <c r="C95" s="2" t="s">
        <v>251</v>
      </c>
      <c r="D95" s="2" t="s">
        <v>252</v>
      </c>
      <c r="E95" s="2" t="s">
        <v>71</v>
      </c>
      <c r="F95" s="1" t="s">
        <v>71</v>
      </c>
    </row>
    <row r="96" spans="2:6" ht="12.75">
      <c r="B96" s="1" t="s">
        <v>253</v>
      </c>
      <c r="C96" s="2" t="s">
        <v>254</v>
      </c>
      <c r="D96" s="2" t="s">
        <v>254</v>
      </c>
      <c r="E96" s="2" t="s">
        <v>15</v>
      </c>
      <c r="F96" s="1" t="s">
        <v>255</v>
      </c>
    </row>
    <row r="97" spans="2:6" ht="12.75">
      <c r="B97" s="1">
        <f>ROUND(E81/1050,4)</f>
        <v>0.0014</v>
      </c>
      <c r="C97" s="205">
        <f>B97/64</f>
        <v>2.1875E-05</v>
      </c>
      <c r="D97" s="205">
        <f>0.05*C97</f>
        <v>1.0937500000000001E-06</v>
      </c>
      <c r="E97" s="205">
        <f>D97*132.2</f>
        <v>0.00014459375</v>
      </c>
      <c r="F97" s="206">
        <f>ROUND(E97*D81,3)</f>
        <v>0.152</v>
      </c>
    </row>
    <row r="100" ht="12.75">
      <c r="A100" t="s">
        <v>176</v>
      </c>
    </row>
    <row r="101" ht="12.75">
      <c r="A101" t="s">
        <v>177</v>
      </c>
    </row>
    <row r="102" ht="12.75">
      <c r="A102" t="s">
        <v>178</v>
      </c>
    </row>
    <row r="103" ht="12.75">
      <c r="A103" t="s">
        <v>194</v>
      </c>
    </row>
    <row r="104" ht="12.75">
      <c r="A104" t="s">
        <v>156</v>
      </c>
    </row>
    <row r="105" spans="1:6" ht="12.75">
      <c r="A105" t="s">
        <v>32</v>
      </c>
      <c r="F105" s="16"/>
    </row>
    <row r="106" spans="1:7" ht="12.75">
      <c r="A106" t="s">
        <v>33</v>
      </c>
      <c r="F106" s="1"/>
      <c r="G106" s="1"/>
    </row>
    <row r="107" ht="12.75">
      <c r="A107" t="s">
        <v>179</v>
      </c>
    </row>
    <row r="108" ht="12.75">
      <c r="A108" t="s">
        <v>180</v>
      </c>
    </row>
    <row r="109" ht="12.75">
      <c r="A109" t="s">
        <v>256</v>
      </c>
    </row>
    <row r="110" ht="12.75">
      <c r="A110" s="9"/>
    </row>
    <row r="111" spans="6:7" ht="12.75">
      <c r="F111" s="1"/>
      <c r="G111" s="1"/>
    </row>
    <row r="112" spans="2:7" ht="12.75">
      <c r="B112" s="1"/>
      <c r="C112" s="1"/>
      <c r="D112" s="1"/>
      <c r="E112" s="1"/>
      <c r="F112" s="2"/>
      <c r="G112" s="2"/>
    </row>
    <row r="113" spans="2:7" ht="12.75">
      <c r="B113" s="1"/>
      <c r="C113" s="1"/>
      <c r="D113" s="1"/>
      <c r="E113" s="1"/>
      <c r="F113" s="2"/>
      <c r="G113" s="2"/>
    </row>
    <row r="114" spans="6:7" ht="12.75">
      <c r="F114" s="2"/>
      <c r="G114" s="2"/>
    </row>
    <row r="115" spans="2:5" ht="12.75">
      <c r="B115" s="9"/>
      <c r="C115" s="17"/>
      <c r="D115" s="15"/>
      <c r="E115" s="2"/>
    </row>
    <row r="116" spans="2:5" ht="12.75">
      <c r="B116" s="9"/>
      <c r="C116" s="17"/>
      <c r="D116" s="15"/>
      <c r="E116" s="2"/>
    </row>
    <row r="117" spans="2:5" ht="12.75">
      <c r="B117" s="9"/>
      <c r="C117" s="17"/>
      <c r="D117" s="15"/>
      <c r="E117" s="2"/>
    </row>
    <row r="118" spans="2:5" ht="12.75">
      <c r="B118" s="9"/>
      <c r="C118" s="17"/>
      <c r="D118" s="15"/>
      <c r="E118" s="2"/>
    </row>
    <row r="119" spans="2:5" ht="12.75">
      <c r="B119" s="9"/>
      <c r="C119" s="17"/>
      <c r="D119" s="2"/>
      <c r="E119" s="2"/>
    </row>
    <row r="120" spans="2:5" ht="12.75">
      <c r="B120" s="9"/>
      <c r="C120" s="17"/>
      <c r="D120" s="2"/>
      <c r="E120" s="2"/>
    </row>
  </sheetData>
  <sheetProtection/>
  <mergeCells count="5">
    <mergeCell ref="A1:G1"/>
    <mergeCell ref="A25:E25"/>
    <mergeCell ref="C45:D45"/>
    <mergeCell ref="A2:G2"/>
    <mergeCell ref="A3:G3"/>
  </mergeCells>
  <printOptions horizontalCentered="1"/>
  <pageMargins left="0.75" right="0.75" top="1" bottom="1" header="0.5" footer="0.5"/>
  <pageSetup fitToHeight="2" fitToWidth="1" horizontalDpi="600" verticalDpi="600" orientation="portrait" scale="84" r:id="rId2"/>
  <headerFooter alignWithMargins="0">
    <oddFooter>&amp;L&amp;8K:\reports\R1350\valley\&amp;F\&amp;A&amp;C&amp;P of &amp;N&amp;R&amp;6&amp;D</oddFooter>
  </headerFooter>
  <rowBreaks count="1" manualBreakCount="1">
    <brk id="6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25">
      <selection activeCell="B15" sqref="B15"/>
    </sheetView>
  </sheetViews>
  <sheetFormatPr defaultColWidth="9.140625" defaultRowHeight="12.75"/>
  <cols>
    <col min="1" max="1" width="10.7109375" style="0" customWidth="1"/>
    <col min="2" max="2" width="17.00390625" style="0" customWidth="1"/>
    <col min="3" max="3" width="11.57421875" style="0" customWidth="1"/>
    <col min="4" max="4" width="11.421875" style="0" customWidth="1"/>
    <col min="5" max="5" width="10.140625" style="0" customWidth="1"/>
    <col min="6" max="6" width="10.140625" style="0" bestFit="1" customWidth="1"/>
    <col min="7" max="7" width="9.8515625" style="0" bestFit="1" customWidth="1"/>
    <col min="8" max="8" width="9.140625" style="189" customWidth="1"/>
  </cols>
  <sheetData>
    <row r="1" spans="1:8" ht="17.25">
      <c r="A1" s="216" t="s">
        <v>197</v>
      </c>
      <c r="B1" s="217"/>
      <c r="C1" s="217"/>
      <c r="D1" s="217"/>
      <c r="E1" s="217"/>
      <c r="F1" s="217"/>
      <c r="G1" s="217"/>
      <c r="H1" s="218"/>
    </row>
    <row r="2" spans="1:8" ht="17.25">
      <c r="A2" s="221" t="s">
        <v>198</v>
      </c>
      <c r="B2" s="222"/>
      <c r="C2" s="222"/>
      <c r="D2" s="222"/>
      <c r="E2" s="222"/>
      <c r="F2" s="222"/>
      <c r="G2" s="222"/>
      <c r="H2" s="223"/>
    </row>
    <row r="3" spans="1:8" ht="17.25">
      <c r="A3" s="221" t="s">
        <v>187</v>
      </c>
      <c r="B3" s="222"/>
      <c r="C3" s="222"/>
      <c r="D3" s="222"/>
      <c r="E3" s="222"/>
      <c r="F3" s="222"/>
      <c r="G3" s="222"/>
      <c r="H3" s="223"/>
    </row>
    <row r="4" spans="1:8" ht="13.5" thickBot="1">
      <c r="A4" s="186"/>
      <c r="B4" s="187"/>
      <c r="C4" s="187"/>
      <c r="D4" s="187"/>
      <c r="E4" s="187"/>
      <c r="F4" s="187"/>
      <c r="G4" s="187"/>
      <c r="H4" s="160"/>
    </row>
    <row r="5" spans="1:8" ht="12.75">
      <c r="A5" s="5"/>
      <c r="B5" s="6"/>
      <c r="C5" s="6"/>
      <c r="D5" s="6"/>
      <c r="E5" s="6"/>
      <c r="F5" s="6"/>
      <c r="G5" s="6"/>
      <c r="H5" s="132"/>
    </row>
    <row r="6" spans="1:8" ht="15">
      <c r="A6" s="5" t="s">
        <v>199</v>
      </c>
      <c r="B6" s="6"/>
      <c r="C6" s="6"/>
      <c r="D6" s="6"/>
      <c r="E6" s="6"/>
      <c r="F6" s="6"/>
      <c r="G6" s="6"/>
      <c r="H6" s="132"/>
    </row>
    <row r="7" spans="1:8" ht="12.75">
      <c r="A7" s="5" t="s">
        <v>200</v>
      </c>
      <c r="B7" s="6"/>
      <c r="C7" s="6"/>
      <c r="D7" s="6"/>
      <c r="E7" s="6"/>
      <c r="F7" s="6"/>
      <c r="G7" s="6"/>
      <c r="H7" s="132"/>
    </row>
    <row r="8" spans="1:8" ht="15">
      <c r="A8" s="5" t="s">
        <v>201</v>
      </c>
      <c r="B8" s="6"/>
      <c r="C8" s="6"/>
      <c r="D8" s="6"/>
      <c r="E8" s="6"/>
      <c r="F8" s="6"/>
      <c r="G8" s="6"/>
      <c r="H8" s="132"/>
    </row>
    <row r="9" spans="1:8" ht="15">
      <c r="A9" s="5" t="s">
        <v>202</v>
      </c>
      <c r="B9" s="6"/>
      <c r="C9" s="6"/>
      <c r="D9" s="6"/>
      <c r="E9" s="6"/>
      <c r="F9" s="6"/>
      <c r="G9" s="6"/>
      <c r="H9" s="132"/>
    </row>
    <row r="10" spans="1:8" ht="15">
      <c r="A10" s="5" t="s">
        <v>240</v>
      </c>
      <c r="B10" s="6"/>
      <c r="C10" s="6"/>
      <c r="D10" s="6"/>
      <c r="E10" s="6"/>
      <c r="F10" s="6"/>
      <c r="G10" s="6"/>
      <c r="H10" s="132"/>
    </row>
    <row r="11" spans="1:8" ht="12.75">
      <c r="A11" s="5" t="s">
        <v>203</v>
      </c>
      <c r="B11" s="6"/>
      <c r="C11" s="6"/>
      <c r="D11" s="6"/>
      <c r="E11" s="6"/>
      <c r="F11" s="6"/>
      <c r="G11" s="6"/>
      <c r="H11" s="132"/>
    </row>
    <row r="12" spans="1:8" ht="15">
      <c r="A12" s="5" t="s">
        <v>204</v>
      </c>
      <c r="B12" s="6"/>
      <c r="C12" s="6"/>
      <c r="D12" s="6"/>
      <c r="E12" s="6"/>
      <c r="F12" s="6"/>
      <c r="G12" s="6"/>
      <c r="H12" s="132"/>
    </row>
    <row r="13" spans="1:8" ht="12.75">
      <c r="A13" s="5" t="s">
        <v>205</v>
      </c>
      <c r="B13" s="6"/>
      <c r="C13" s="6"/>
      <c r="D13" s="6"/>
      <c r="E13" s="6"/>
      <c r="F13" s="6"/>
      <c r="G13" s="6"/>
      <c r="H13" s="132"/>
    </row>
    <row r="14" spans="1:8" ht="13.5" thickBot="1">
      <c r="A14" s="7" t="s">
        <v>206</v>
      </c>
      <c r="B14" s="8"/>
      <c r="C14" s="8"/>
      <c r="D14" s="8"/>
      <c r="E14" s="8"/>
      <c r="F14" s="8"/>
      <c r="G14" s="8"/>
      <c r="H14" s="133"/>
    </row>
    <row r="15" spans="4:8" ht="12.75">
      <c r="D15" s="6"/>
      <c r="E15" s="6"/>
      <c r="F15" s="6"/>
      <c r="G15" s="6"/>
      <c r="H15" s="188"/>
    </row>
    <row r="16" spans="1:5" ht="12.75">
      <c r="A16" s="219" t="s">
        <v>207</v>
      </c>
      <c r="B16" s="219"/>
      <c r="C16" s="219"/>
      <c r="D16" s="219"/>
      <c r="E16" s="219"/>
    </row>
    <row r="17" spans="4:5" ht="12.75">
      <c r="D17" s="1"/>
      <c r="E17" s="1"/>
    </row>
    <row r="18" spans="1:8" ht="13.5" thickBot="1">
      <c r="A18" s="9" t="s">
        <v>208</v>
      </c>
      <c r="B18" s="9"/>
      <c r="C18" s="190" t="s">
        <v>209</v>
      </c>
      <c r="D18" s="190"/>
      <c r="E18" s="190"/>
      <c r="F18" s="190"/>
      <c r="G18" s="13"/>
      <c r="H18" s="191"/>
    </row>
    <row r="19" spans="1:8" ht="12.75">
      <c r="A19" s="9"/>
      <c r="B19" s="9"/>
      <c r="C19" s="9"/>
      <c r="D19" s="9" t="s">
        <v>210</v>
      </c>
      <c r="E19" s="9"/>
      <c r="F19" s="9"/>
      <c r="G19" s="13"/>
      <c r="H19" s="191"/>
    </row>
    <row r="20" spans="1:8" ht="12.75">
      <c r="A20" s="13"/>
      <c r="B20" s="13"/>
      <c r="C20" s="13"/>
      <c r="D20" s="13"/>
      <c r="E20" s="13"/>
      <c r="F20" s="13"/>
      <c r="G20" s="13"/>
      <c r="H20" s="191"/>
    </row>
    <row r="21" spans="1:8" ht="12.75">
      <c r="A21" s="13"/>
      <c r="B21" s="13"/>
      <c r="C21" s="13"/>
      <c r="D21" s="13"/>
      <c r="E21" s="13"/>
      <c r="F21" s="13"/>
      <c r="G21" s="13"/>
      <c r="H21" s="191"/>
    </row>
    <row r="22" spans="1:8" ht="15.75" thickBot="1">
      <c r="A22" s="9" t="s">
        <v>211</v>
      </c>
      <c r="B22" s="9"/>
      <c r="C22" s="9" t="s">
        <v>212</v>
      </c>
      <c r="D22" s="9"/>
      <c r="E22" s="190" t="s">
        <v>241</v>
      </c>
      <c r="F22" s="190"/>
      <c r="G22" s="9"/>
      <c r="H22" s="192"/>
    </row>
    <row r="23" spans="1:8" ht="15">
      <c r="A23" s="9"/>
      <c r="B23" s="9"/>
      <c r="C23" s="9"/>
      <c r="D23" s="9"/>
      <c r="E23" s="9" t="s">
        <v>242</v>
      </c>
      <c r="F23" s="9"/>
      <c r="G23" s="9"/>
      <c r="H23" s="192"/>
    </row>
    <row r="24" spans="1:8" ht="12.75">
      <c r="A24" s="9"/>
      <c r="B24" s="9"/>
      <c r="C24" s="9"/>
      <c r="D24" s="9"/>
      <c r="E24" s="9"/>
      <c r="F24" s="9"/>
      <c r="G24" s="9"/>
      <c r="H24" s="192"/>
    </row>
    <row r="25" spans="1:8" ht="12.75">
      <c r="A25" s="13"/>
      <c r="B25" s="13"/>
      <c r="C25" s="13"/>
      <c r="D25" s="13"/>
      <c r="E25" s="13"/>
      <c r="F25" s="13"/>
      <c r="G25" s="13"/>
      <c r="H25" s="191"/>
    </row>
    <row r="26" spans="1:8" ht="12.75">
      <c r="A26" s="224" t="s">
        <v>213</v>
      </c>
      <c r="B26" s="224"/>
      <c r="C26" s="194">
        <v>1054800</v>
      </c>
      <c r="D26" s="13" t="s">
        <v>214</v>
      </c>
      <c r="E26" s="224" t="s">
        <v>215</v>
      </c>
      <c r="F26" s="224"/>
      <c r="G26" s="20">
        <v>929950</v>
      </c>
      <c r="H26" s="191" t="s">
        <v>214</v>
      </c>
    </row>
    <row r="27" spans="1:8" ht="12.75">
      <c r="A27" s="193"/>
      <c r="B27" s="193"/>
      <c r="C27" s="193"/>
      <c r="D27" s="13"/>
      <c r="E27" s="193"/>
      <c r="F27" s="193"/>
      <c r="G27" s="20"/>
      <c r="H27" s="191"/>
    </row>
    <row r="28" spans="1:8" ht="15">
      <c r="A28" s="224" t="s">
        <v>216</v>
      </c>
      <c r="B28" s="224"/>
      <c r="C28" s="194">
        <f>ROUND((C26+G26)/2,0)</f>
        <v>992375</v>
      </c>
      <c r="D28" s="13" t="s">
        <v>214</v>
      </c>
      <c r="E28" s="225" t="s">
        <v>217</v>
      </c>
      <c r="F28" s="225"/>
      <c r="G28" s="20">
        <v>824</v>
      </c>
      <c r="H28" s="195" t="s">
        <v>243</v>
      </c>
    </row>
    <row r="29" spans="1:8" ht="12.75">
      <c r="A29" s="13"/>
      <c r="B29" s="13"/>
      <c r="C29" s="13"/>
      <c r="D29" s="13"/>
      <c r="E29" s="13"/>
      <c r="F29" s="13"/>
      <c r="G29" s="13"/>
      <c r="H29" s="191"/>
    </row>
    <row r="30" spans="1:8" s="9" customFormat="1" ht="26.25">
      <c r="A30" s="196" t="s">
        <v>218</v>
      </c>
      <c r="B30" s="197" t="s">
        <v>219</v>
      </c>
      <c r="C30" s="197" t="s">
        <v>220</v>
      </c>
      <c r="D30" s="197" t="s">
        <v>221</v>
      </c>
      <c r="E30" s="197" t="s">
        <v>222</v>
      </c>
      <c r="F30" s="197" t="s">
        <v>222</v>
      </c>
      <c r="G30" s="197" t="s">
        <v>222</v>
      </c>
      <c r="H30" s="197" t="s">
        <v>222</v>
      </c>
    </row>
    <row r="31" spans="1:8" ht="15">
      <c r="A31" s="13"/>
      <c r="B31" s="125" t="s">
        <v>62</v>
      </c>
      <c r="C31" s="125" t="s">
        <v>124</v>
      </c>
      <c r="D31" s="125" t="s">
        <v>244</v>
      </c>
      <c r="E31" s="125" t="s">
        <v>223</v>
      </c>
      <c r="F31" s="125" t="s">
        <v>224</v>
      </c>
      <c r="G31" s="125" t="s">
        <v>225</v>
      </c>
      <c r="H31" s="125" t="s">
        <v>226</v>
      </c>
    </row>
    <row r="32" spans="1:8" ht="12.75">
      <c r="A32" s="125"/>
      <c r="B32" s="125"/>
      <c r="C32" s="125"/>
      <c r="D32" s="125"/>
      <c r="E32" s="125"/>
      <c r="F32" s="13"/>
      <c r="G32" s="13"/>
      <c r="H32" s="191"/>
    </row>
    <row r="33" spans="1:8" ht="12.75">
      <c r="A33" s="125" t="s">
        <v>227</v>
      </c>
      <c r="B33" s="198">
        <f>C28</f>
        <v>992375</v>
      </c>
      <c r="C33" s="125">
        <v>28</v>
      </c>
      <c r="D33" s="198">
        <f>G28</f>
        <v>824</v>
      </c>
      <c r="E33" s="198">
        <f>ROUND(B33*379/C33,0)</f>
        <v>13432504</v>
      </c>
      <c r="F33" s="198">
        <f>ROUND(E33*((D33+460)/520),0)</f>
        <v>33167952</v>
      </c>
      <c r="G33" s="198">
        <f>ROUND(E33/60,0)</f>
        <v>223875</v>
      </c>
      <c r="H33" s="198">
        <f>ROUND(F33/60,0)</f>
        <v>552799</v>
      </c>
    </row>
    <row r="34" spans="1:8" ht="12.75">
      <c r="A34" s="125"/>
      <c r="B34" s="198"/>
      <c r="C34" s="125"/>
      <c r="D34" s="198"/>
      <c r="E34" s="198"/>
      <c r="F34" s="198"/>
      <c r="G34" s="198"/>
      <c r="H34" s="198"/>
    </row>
    <row r="35" spans="1:8" ht="39">
      <c r="A35" s="125" t="s">
        <v>228</v>
      </c>
      <c r="B35" s="197" t="s">
        <v>229</v>
      </c>
      <c r="C35" s="197" t="s">
        <v>230</v>
      </c>
      <c r="D35" s="120" t="s">
        <v>230</v>
      </c>
      <c r="E35" s="120" t="s">
        <v>231</v>
      </c>
      <c r="F35" s="197" t="s">
        <v>232</v>
      </c>
      <c r="G35" s="120" t="s">
        <v>233</v>
      </c>
      <c r="H35" s="198"/>
    </row>
    <row r="36" spans="1:8" ht="12.75">
      <c r="A36" s="125"/>
      <c r="B36" s="198" t="s">
        <v>234</v>
      </c>
      <c r="C36" s="125" t="s">
        <v>235</v>
      </c>
      <c r="D36" s="126" t="s">
        <v>236</v>
      </c>
      <c r="E36" s="126" t="s">
        <v>237</v>
      </c>
      <c r="F36" s="198" t="s">
        <v>234</v>
      </c>
      <c r="G36" s="126" t="s">
        <v>237</v>
      </c>
      <c r="H36" s="198"/>
    </row>
    <row r="37" spans="1:8" ht="12.75">
      <c r="A37" s="125"/>
      <c r="B37" s="198"/>
      <c r="C37" s="125"/>
      <c r="D37" s="126"/>
      <c r="E37" s="126"/>
      <c r="F37" s="198"/>
      <c r="G37" s="126"/>
      <c r="H37" s="198"/>
    </row>
    <row r="38" spans="1:8" ht="12.75">
      <c r="A38" s="125" t="s">
        <v>227</v>
      </c>
      <c r="B38" s="198">
        <v>10</v>
      </c>
      <c r="C38" s="125">
        <f>ROUND(H33/(PI()*(B38^2/4)*60),2)</f>
        <v>117.31</v>
      </c>
      <c r="D38" s="199">
        <f>ROUND(C38*0.3048,2)</f>
        <v>35.76</v>
      </c>
      <c r="E38" s="199">
        <f>ROUND(B38*0.3048,2)</f>
        <v>3.05</v>
      </c>
      <c r="F38" s="198">
        <v>110</v>
      </c>
      <c r="G38" s="199">
        <f>ROUND(F38*0.3048,2)</f>
        <v>33.53</v>
      </c>
      <c r="H38" s="198"/>
    </row>
    <row r="39" spans="1:8" ht="12.75">
      <c r="A39" s="1"/>
      <c r="B39" s="198"/>
      <c r="C39" s="125"/>
      <c r="D39" s="198"/>
      <c r="E39" s="126"/>
      <c r="F39" s="126"/>
      <c r="G39" s="126"/>
      <c r="H39" s="126"/>
    </row>
    <row r="40" spans="1:8" ht="12" customHeight="1">
      <c r="A40" s="10"/>
      <c r="B40" s="125"/>
      <c r="C40" s="125"/>
      <c r="D40" s="125"/>
      <c r="E40" s="2"/>
      <c r="G40" s="1"/>
      <c r="H40" s="1"/>
    </row>
    <row r="41" spans="1:5" ht="12.75">
      <c r="A41" s="9"/>
      <c r="B41" s="9"/>
      <c r="C41" s="9"/>
      <c r="D41" s="9"/>
      <c r="E41" s="9"/>
    </row>
    <row r="42" ht="12.75">
      <c r="A42" t="s">
        <v>238</v>
      </c>
    </row>
    <row r="43" ht="12.75">
      <c r="A43" t="s">
        <v>239</v>
      </c>
    </row>
    <row r="46" ht="12.75">
      <c r="A46" s="9"/>
    </row>
    <row r="47" spans="6:7" ht="12.75">
      <c r="F47" s="1"/>
      <c r="G47" s="1"/>
    </row>
    <row r="48" spans="2:7" ht="12.75">
      <c r="B48" s="1"/>
      <c r="C48" s="1"/>
      <c r="D48" s="1"/>
      <c r="E48" s="1"/>
      <c r="F48" s="2"/>
      <c r="G48" s="2"/>
    </row>
    <row r="49" spans="2:7" ht="12.75">
      <c r="B49" s="1"/>
      <c r="C49" s="1"/>
      <c r="D49" s="1"/>
      <c r="E49" s="1"/>
      <c r="F49" s="2"/>
      <c r="G49" s="2"/>
    </row>
    <row r="50" spans="6:7" ht="12.75">
      <c r="F50" s="2"/>
      <c r="G50" s="2"/>
    </row>
    <row r="51" spans="2:5" ht="12.75">
      <c r="B51" s="9"/>
      <c r="C51" s="17"/>
      <c r="D51" s="15"/>
      <c r="E51" s="2"/>
    </row>
    <row r="52" spans="2:5" ht="12.75">
      <c r="B52" s="9"/>
      <c r="C52" s="17"/>
      <c r="D52" s="15"/>
      <c r="E52" s="2"/>
    </row>
    <row r="53" spans="2:5" ht="12.75">
      <c r="B53" s="9"/>
      <c r="C53" s="17"/>
      <c r="D53" s="15"/>
      <c r="E53" s="2"/>
    </row>
    <row r="54" spans="2:5" ht="12.75">
      <c r="B54" s="9"/>
      <c r="C54" s="17"/>
      <c r="D54" s="15"/>
      <c r="E54" s="2"/>
    </row>
    <row r="55" spans="2:5" ht="12.75">
      <c r="B55" s="9"/>
      <c r="C55" s="17"/>
      <c r="D55" s="2"/>
      <c r="E55" s="2"/>
    </row>
    <row r="56" spans="2:5" ht="12.75">
      <c r="B56" s="9"/>
      <c r="C56" s="17"/>
      <c r="D56" s="2"/>
      <c r="E56" s="2"/>
    </row>
  </sheetData>
  <sheetProtection/>
  <mergeCells count="8">
    <mergeCell ref="A1:H1"/>
    <mergeCell ref="A3:H3"/>
    <mergeCell ref="A28:B28"/>
    <mergeCell ref="E28:F28"/>
    <mergeCell ref="A2:H2"/>
    <mergeCell ref="A16:E16"/>
    <mergeCell ref="A26:B26"/>
    <mergeCell ref="E26:F26"/>
  </mergeCells>
  <printOptions horizontalCentered="1"/>
  <pageMargins left="0.75" right="0.75" top="1" bottom="1" header="0.5" footer="0.5"/>
  <pageSetup fitToHeight="1" fitToWidth="1" horizontalDpi="600" verticalDpi="600" orientation="portrait" scale="99" r:id="rId2"/>
  <headerFooter alignWithMargins="0">
    <oddFooter>&amp;L&amp;8K:\reports\R1350\valley\&amp;F\&amp;A&amp;C&amp;P of &amp;N&amp;R&amp;6&amp;D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1.00390625" style="0" customWidth="1"/>
    <col min="2" max="2" width="25.7109375" style="0" customWidth="1"/>
    <col min="3" max="3" width="14.7109375" style="0" customWidth="1"/>
    <col min="4" max="4" width="12.7109375" style="0" customWidth="1"/>
    <col min="5" max="5" width="16.7109375" style="0" customWidth="1"/>
  </cols>
  <sheetData>
    <row r="1" spans="1:5" ht="18" thickTop="1">
      <c r="A1" s="226" t="s">
        <v>188</v>
      </c>
      <c r="B1" s="227"/>
      <c r="C1" s="227"/>
      <c r="D1" s="227"/>
      <c r="E1" s="228"/>
    </row>
    <row r="2" spans="1:5" ht="17.25">
      <c r="A2" s="229" t="s">
        <v>189</v>
      </c>
      <c r="B2" s="222"/>
      <c r="C2" s="222"/>
      <c r="D2" s="222"/>
      <c r="E2" s="230"/>
    </row>
    <row r="3" spans="1:5" ht="12.75">
      <c r="A3" s="161"/>
      <c r="B3" s="162"/>
      <c r="C3" s="162"/>
      <c r="D3" s="162"/>
      <c r="E3" s="163"/>
    </row>
    <row r="4" spans="1:5" ht="12.75">
      <c r="A4" s="161"/>
      <c r="B4" s="162"/>
      <c r="C4" s="162"/>
      <c r="D4" s="162"/>
      <c r="E4" s="163"/>
    </row>
    <row r="5" spans="1:5" ht="12.75">
      <c r="A5" s="164"/>
      <c r="B5" s="165"/>
      <c r="C5" s="165"/>
      <c r="D5" s="165"/>
      <c r="E5" s="166"/>
    </row>
    <row r="6" spans="1:5" ht="12.75">
      <c r="A6" s="167" t="s">
        <v>104</v>
      </c>
      <c r="B6" s="168"/>
      <c r="C6" s="168"/>
      <c r="D6" s="168"/>
      <c r="E6" s="169"/>
    </row>
    <row r="7" spans="1:5" ht="12.75">
      <c r="A7" s="170" t="s">
        <v>105</v>
      </c>
      <c r="B7" s="171"/>
      <c r="C7" s="171"/>
      <c r="D7" s="171"/>
      <c r="E7" s="172"/>
    </row>
    <row r="8" spans="1:5" ht="12.75">
      <c r="A8" s="170" t="s">
        <v>193</v>
      </c>
      <c r="B8" s="171"/>
      <c r="C8" s="171"/>
      <c r="D8" s="171"/>
      <c r="E8" s="172"/>
    </row>
    <row r="9" spans="1:5" ht="12.75">
      <c r="A9" s="173" t="s">
        <v>190</v>
      </c>
      <c r="B9" s="174"/>
      <c r="C9" s="174"/>
      <c r="D9" s="174"/>
      <c r="E9" s="175"/>
    </row>
    <row r="10" spans="1:5" ht="12.75">
      <c r="A10" s="176"/>
      <c r="B10" s="177"/>
      <c r="C10" s="177"/>
      <c r="D10" s="177"/>
      <c r="E10" s="178"/>
    </row>
    <row r="11" spans="1:5" ht="12.75">
      <c r="A11" s="179" t="s">
        <v>102</v>
      </c>
      <c r="B11" s="67" t="s">
        <v>77</v>
      </c>
      <c r="C11" s="67" t="s">
        <v>98</v>
      </c>
      <c r="D11" s="67" t="s">
        <v>99</v>
      </c>
      <c r="E11" s="87" t="s">
        <v>191</v>
      </c>
    </row>
    <row r="12" spans="1:5" ht="12.75">
      <c r="A12" s="179" t="s">
        <v>101</v>
      </c>
      <c r="B12" s="67"/>
      <c r="C12" s="67"/>
      <c r="D12" s="67" t="s">
        <v>100</v>
      </c>
      <c r="E12" s="87" t="s">
        <v>3</v>
      </c>
    </row>
    <row r="13" spans="1:5" ht="12.75">
      <c r="A13" s="180"/>
      <c r="B13" s="181"/>
      <c r="C13" s="181"/>
      <c r="D13" s="181" t="s">
        <v>103</v>
      </c>
      <c r="E13" s="182" t="s">
        <v>192</v>
      </c>
    </row>
    <row r="14" spans="1:5" ht="12.75">
      <c r="A14" s="200" t="s">
        <v>67</v>
      </c>
      <c r="B14" s="100" t="s">
        <v>89</v>
      </c>
      <c r="C14" s="96">
        <v>106990</v>
      </c>
      <c r="D14" s="96" t="s">
        <v>106</v>
      </c>
      <c r="E14" s="138">
        <v>0.000127</v>
      </c>
    </row>
    <row r="15" spans="1:5" ht="12.75">
      <c r="A15" s="200" t="s">
        <v>90</v>
      </c>
      <c r="B15" s="100" t="s">
        <v>107</v>
      </c>
      <c r="C15" s="96">
        <v>91587</v>
      </c>
      <c r="D15" s="96" t="s">
        <v>108</v>
      </c>
      <c r="E15" s="138">
        <v>2.72E-07</v>
      </c>
    </row>
    <row r="16" spans="1:5" ht="12.75">
      <c r="A16" s="200" t="s">
        <v>90</v>
      </c>
      <c r="B16" s="100" t="s">
        <v>109</v>
      </c>
      <c r="C16" s="96">
        <v>91576</v>
      </c>
      <c r="D16" s="96" t="s">
        <v>108</v>
      </c>
      <c r="E16" s="138">
        <v>5.29E-06</v>
      </c>
    </row>
    <row r="17" spans="1:5" ht="12.75">
      <c r="A17" s="200" t="s">
        <v>85</v>
      </c>
      <c r="B17" s="100" t="s">
        <v>139</v>
      </c>
      <c r="C17" s="96">
        <v>83329</v>
      </c>
      <c r="D17" s="96" t="s">
        <v>108</v>
      </c>
      <c r="E17" s="138">
        <v>1.9E-05</v>
      </c>
    </row>
    <row r="18" spans="1:5" ht="12.75">
      <c r="A18" s="200" t="s">
        <v>85</v>
      </c>
      <c r="B18" s="100" t="s">
        <v>140</v>
      </c>
      <c r="C18" s="96">
        <v>208968</v>
      </c>
      <c r="D18" s="96" t="s">
        <v>108</v>
      </c>
      <c r="E18" s="138">
        <v>1.47E-05</v>
      </c>
    </row>
    <row r="19" spans="1:5" ht="12.75">
      <c r="A19" s="200" t="s">
        <v>67</v>
      </c>
      <c r="B19" s="100" t="s">
        <v>86</v>
      </c>
      <c r="C19" s="96">
        <v>75070</v>
      </c>
      <c r="D19" s="96" t="s">
        <v>106</v>
      </c>
      <c r="E19" s="138">
        <v>0.137</v>
      </c>
    </row>
    <row r="20" spans="1:5" ht="12.75">
      <c r="A20" s="200" t="s">
        <v>67</v>
      </c>
      <c r="B20" s="100" t="s">
        <v>87</v>
      </c>
      <c r="C20" s="96">
        <v>107028</v>
      </c>
      <c r="D20" s="96" t="s">
        <v>106</v>
      </c>
      <c r="E20" s="138">
        <v>0.0189</v>
      </c>
    </row>
    <row r="21" spans="1:5" ht="12.75">
      <c r="A21" s="200" t="s">
        <v>85</v>
      </c>
      <c r="B21" s="100" t="s">
        <v>172</v>
      </c>
      <c r="C21" s="96">
        <v>120127</v>
      </c>
      <c r="D21" s="96" t="s">
        <v>108</v>
      </c>
      <c r="E21" s="138">
        <v>3.38E-05</v>
      </c>
    </row>
    <row r="22" spans="1:5" ht="12.75">
      <c r="A22" s="200" t="s">
        <v>85</v>
      </c>
      <c r="B22" s="100" t="s">
        <v>141</v>
      </c>
      <c r="C22" s="96">
        <v>56553</v>
      </c>
      <c r="D22" s="96" t="s">
        <v>106</v>
      </c>
      <c r="E22" s="138">
        <v>2.26E-05</v>
      </c>
    </row>
    <row r="23" spans="1:5" ht="12.75">
      <c r="A23" s="200" t="s">
        <v>67</v>
      </c>
      <c r="B23" s="100" t="s">
        <v>88</v>
      </c>
      <c r="C23" s="96">
        <v>71432</v>
      </c>
      <c r="D23" s="96" t="s">
        <v>106</v>
      </c>
      <c r="E23" s="138">
        <v>0.0133</v>
      </c>
    </row>
    <row r="24" spans="1:5" ht="12.75">
      <c r="A24" s="200" t="s">
        <v>85</v>
      </c>
      <c r="B24" s="100" t="s">
        <v>142</v>
      </c>
      <c r="C24" s="96">
        <v>50328</v>
      </c>
      <c r="D24" s="96" t="s">
        <v>106</v>
      </c>
      <c r="E24" s="138">
        <v>1.39E-05</v>
      </c>
    </row>
    <row r="25" spans="1:5" ht="12.75">
      <c r="A25" s="200" t="s">
        <v>85</v>
      </c>
      <c r="B25" s="100" t="s">
        <v>143</v>
      </c>
      <c r="C25" s="96">
        <v>205992</v>
      </c>
      <c r="D25" s="96" t="s">
        <v>106</v>
      </c>
      <c r="E25" s="138">
        <v>1.13E-05</v>
      </c>
    </row>
    <row r="26" spans="1:5" ht="12.75">
      <c r="A26" s="200" t="s">
        <v>85</v>
      </c>
      <c r="B26" s="100" t="s">
        <v>144</v>
      </c>
      <c r="C26" s="96">
        <v>192972</v>
      </c>
      <c r="D26" s="96" t="s">
        <v>108</v>
      </c>
      <c r="E26" s="138">
        <v>5.44E-07</v>
      </c>
    </row>
    <row r="27" spans="1:5" ht="12.75">
      <c r="A27" s="200" t="s">
        <v>85</v>
      </c>
      <c r="B27" s="100" t="s">
        <v>145</v>
      </c>
      <c r="C27" s="96">
        <v>191242</v>
      </c>
      <c r="D27" s="96" t="s">
        <v>108</v>
      </c>
      <c r="E27" s="138">
        <v>1.37E-05</v>
      </c>
    </row>
    <row r="28" spans="1:5" ht="12.75">
      <c r="A28" s="200" t="s">
        <v>85</v>
      </c>
      <c r="B28" s="100" t="s">
        <v>146</v>
      </c>
      <c r="C28" s="96">
        <v>207089</v>
      </c>
      <c r="D28" s="96" t="s">
        <v>106</v>
      </c>
      <c r="E28" s="138">
        <v>1.1E-05</v>
      </c>
    </row>
    <row r="29" spans="1:5" ht="12.75">
      <c r="A29" s="200" t="s">
        <v>85</v>
      </c>
      <c r="B29" s="100" t="s">
        <v>147</v>
      </c>
      <c r="C29" s="96">
        <v>218019</v>
      </c>
      <c r="D29" s="96" t="s">
        <v>106</v>
      </c>
      <c r="E29" s="138">
        <v>2.52E-05</v>
      </c>
    </row>
    <row r="30" spans="1:5" ht="12.75">
      <c r="A30" s="200" t="s">
        <v>85</v>
      </c>
      <c r="B30" s="100" t="s">
        <v>148</v>
      </c>
      <c r="C30" s="96">
        <v>53703</v>
      </c>
      <c r="D30" s="96" t="s">
        <v>106</v>
      </c>
      <c r="E30" s="138">
        <v>2.35E-05</v>
      </c>
    </row>
    <row r="31" spans="1:5" ht="12.75">
      <c r="A31" s="200" t="s">
        <v>90</v>
      </c>
      <c r="B31" s="100" t="s">
        <v>91</v>
      </c>
      <c r="C31" s="96">
        <v>100414</v>
      </c>
      <c r="D31" s="96" t="s">
        <v>106</v>
      </c>
      <c r="E31" s="138">
        <v>0.0179</v>
      </c>
    </row>
    <row r="32" spans="1:5" ht="12.75">
      <c r="A32" s="200" t="s">
        <v>85</v>
      </c>
      <c r="B32" s="100" t="s">
        <v>149</v>
      </c>
      <c r="C32" s="96">
        <v>206440</v>
      </c>
      <c r="D32" s="96" t="s">
        <v>108</v>
      </c>
      <c r="E32" s="138">
        <v>4.32E-05</v>
      </c>
    </row>
    <row r="33" spans="1:5" ht="12.75">
      <c r="A33" s="200" t="s">
        <v>85</v>
      </c>
      <c r="B33" s="100" t="s">
        <v>150</v>
      </c>
      <c r="C33" s="96">
        <v>86737</v>
      </c>
      <c r="D33" s="96" t="s">
        <v>108</v>
      </c>
      <c r="E33" s="138">
        <v>5.8E-05</v>
      </c>
    </row>
    <row r="34" spans="1:5" ht="12.75">
      <c r="A34" s="200" t="s">
        <v>67</v>
      </c>
      <c r="B34" s="100" t="s">
        <v>92</v>
      </c>
      <c r="C34" s="96">
        <v>50000</v>
      </c>
      <c r="D34" s="96" t="s">
        <v>106</v>
      </c>
      <c r="E34" s="138">
        <v>0.917</v>
      </c>
    </row>
    <row r="35" spans="1:5" ht="12.75">
      <c r="A35" s="200" t="s">
        <v>67</v>
      </c>
      <c r="B35" s="100" t="s">
        <v>93</v>
      </c>
      <c r="C35" s="96">
        <v>110543</v>
      </c>
      <c r="D35" s="96" t="s">
        <v>106</v>
      </c>
      <c r="E35" s="138">
        <v>0.259</v>
      </c>
    </row>
    <row r="36" spans="1:5" ht="12.75">
      <c r="A36" s="200" t="s">
        <v>85</v>
      </c>
      <c r="B36" s="100" t="s">
        <v>151</v>
      </c>
      <c r="C36" s="96">
        <v>193395</v>
      </c>
      <c r="D36" s="96" t="s">
        <v>106</v>
      </c>
      <c r="E36" s="138">
        <v>2.35E-05</v>
      </c>
    </row>
    <row r="37" spans="1:5" ht="12.75">
      <c r="A37" s="200" t="s">
        <v>85</v>
      </c>
      <c r="B37" s="100" t="s">
        <v>157</v>
      </c>
      <c r="C37" s="96">
        <v>91203</v>
      </c>
      <c r="D37" s="96" t="s">
        <v>106</v>
      </c>
      <c r="E37" s="138">
        <v>0.00166</v>
      </c>
    </row>
    <row r="38" spans="1:5" ht="12.75">
      <c r="A38" s="200" t="s">
        <v>90</v>
      </c>
      <c r="B38" s="100" t="s">
        <v>110</v>
      </c>
      <c r="C38" s="96">
        <v>198550</v>
      </c>
      <c r="D38" s="96" t="s">
        <v>108</v>
      </c>
      <c r="E38" s="138">
        <v>7E-07</v>
      </c>
    </row>
    <row r="39" spans="1:5" ht="12.75">
      <c r="A39" s="200" t="s">
        <v>85</v>
      </c>
      <c r="B39" s="100" t="s">
        <v>181</v>
      </c>
      <c r="C39" s="96">
        <v>85018</v>
      </c>
      <c r="D39" s="96" t="s">
        <v>108</v>
      </c>
      <c r="E39" s="138">
        <v>0.000313</v>
      </c>
    </row>
    <row r="40" spans="1:5" ht="12.75">
      <c r="A40" s="200" t="s">
        <v>67</v>
      </c>
      <c r="B40" s="100" t="s">
        <v>94</v>
      </c>
      <c r="C40" s="96">
        <v>115071</v>
      </c>
      <c r="D40" s="96" t="s">
        <v>106</v>
      </c>
      <c r="E40" s="138">
        <v>0.771</v>
      </c>
    </row>
    <row r="41" spans="1:5" ht="12.75">
      <c r="A41" s="200" t="s">
        <v>67</v>
      </c>
      <c r="B41" s="100" t="s">
        <v>95</v>
      </c>
      <c r="C41" s="96">
        <v>75569</v>
      </c>
      <c r="D41" s="96" t="s">
        <v>106</v>
      </c>
      <c r="E41" s="138">
        <v>0.0478</v>
      </c>
    </row>
    <row r="42" spans="1:5" ht="12.75">
      <c r="A42" s="200" t="s">
        <v>85</v>
      </c>
      <c r="B42" s="100" t="s">
        <v>152</v>
      </c>
      <c r="C42" s="96">
        <v>129000</v>
      </c>
      <c r="D42" s="96" t="s">
        <v>108</v>
      </c>
      <c r="E42" s="138">
        <v>2.77E-05</v>
      </c>
    </row>
    <row r="43" spans="1:5" ht="12.75">
      <c r="A43" s="200" t="s">
        <v>67</v>
      </c>
      <c r="B43" s="100" t="s">
        <v>96</v>
      </c>
      <c r="C43" s="96">
        <v>108883</v>
      </c>
      <c r="D43" s="96" t="s">
        <v>106</v>
      </c>
      <c r="E43" s="138">
        <v>0.071</v>
      </c>
    </row>
    <row r="44" spans="1:5" ht="12.75">
      <c r="A44" s="200" t="s">
        <v>67</v>
      </c>
      <c r="B44" s="100" t="s">
        <v>97</v>
      </c>
      <c r="C44" s="96">
        <v>1330207</v>
      </c>
      <c r="D44" s="96" t="s">
        <v>106</v>
      </c>
      <c r="E44" s="138">
        <v>0.0261</v>
      </c>
    </row>
    <row r="45" spans="1:5" ht="13.5" thickBot="1">
      <c r="A45" s="147"/>
      <c r="B45" s="201"/>
      <c r="C45" s="201"/>
      <c r="D45" s="98"/>
      <c r="E45" s="202"/>
    </row>
    <row r="46" ht="13.5" thickTop="1"/>
  </sheetData>
  <sheetProtection/>
  <mergeCells count="2">
    <mergeCell ref="A1:E1"/>
    <mergeCell ref="A2:E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&amp;L&amp;8K:\reports\R1350\valley\&amp;F\&amp;A&amp;C&amp;P of &amp;N&amp;R&amp;6&amp;D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Parsons</dc:creator>
  <cp:keywords/>
  <dc:description/>
  <cp:lastModifiedBy>dsasaki</cp:lastModifiedBy>
  <cp:lastPrinted>2000-11-17T21:28:54Z</cp:lastPrinted>
  <dcterms:created xsi:type="dcterms:W3CDTF">2000-10-10T16:56:45Z</dcterms:created>
  <dcterms:modified xsi:type="dcterms:W3CDTF">2014-08-06T18:57:49Z</dcterms:modified>
  <cp:category/>
  <cp:version/>
  <cp:contentType/>
  <cp:contentStatus/>
</cp:coreProperties>
</file>