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6" windowWidth="10860" windowHeight="5640" firstSheet="29" activeTab="29"/>
  </bookViews>
  <sheets>
    <sheet name="Labor Forecast Data" sheetId="1" r:id="rId1"/>
    <sheet name="Labor Forecast" sheetId="2" r:id="rId2"/>
    <sheet name="Grading" sheetId="3" r:id="rId3"/>
    <sheet name="Equipment" sheetId="4" r:id="rId4"/>
    <sheet name="Ultramar Const. Emiss. Mo.1" sheetId="5" r:id="rId5"/>
    <sheet name="Ultramar Const. Emiss. Mo.  4" sheetId="6" r:id="rId6"/>
    <sheet name="Ultramar Const. Emiss. Mo. 7" sheetId="7" r:id="rId7"/>
    <sheet name="Ultramar Const. Emiss. Mo.  8" sheetId="8" r:id="rId8"/>
    <sheet name="Const. Trip Mo. 1" sheetId="9" r:id="rId9"/>
    <sheet name="Const. Trip Mo. 4" sheetId="10" r:id="rId10"/>
    <sheet name="Const. Trip Mo. 7" sheetId="11" r:id="rId11"/>
    <sheet name="Const. Trip Mo. 8" sheetId="12" r:id="rId12"/>
    <sheet name="Emission Factor Calcs" sheetId="13" r:id="rId13"/>
    <sheet name="PM10 Veh. Emiss - 1" sheetId="14" r:id="rId14"/>
    <sheet name="PM10 Veh. Emiss - 4" sheetId="15" r:id="rId15"/>
    <sheet name="PM10 Veh. Emiss - 7" sheetId="16" r:id="rId16"/>
    <sheet name="PM10 Veh. Emiss - 8" sheetId="17" r:id="rId17"/>
    <sheet name="Fugitive Construction Mo. 1" sheetId="18" r:id="rId18"/>
    <sheet name="Fugitive Construction Mo. 4" sheetId="19" r:id="rId19"/>
    <sheet name="Fugitive Construction Mo. 7" sheetId="20" r:id="rId20"/>
    <sheet name="Fugitive Construction Mo. 8" sheetId="21" r:id="rId21"/>
    <sheet name="Fugitive Paint" sheetId="22" r:id="rId22"/>
    <sheet name="Construction Summary" sheetId="23" r:id="rId23"/>
    <sheet name="Refinery Fugitive Modifications" sheetId="24" r:id="rId24"/>
    <sheet name="Marine Tank Farm Fugitives" sheetId="25" r:id="rId25"/>
    <sheet name="Olympic Tank Farm Fugitives" sheetId="26" r:id="rId26"/>
    <sheet name="Emission Data" sheetId="27" r:id="rId27"/>
    <sheet name="Olympic Diesel Emissions" sheetId="28" r:id="rId28"/>
    <sheet name="Trip Emissions" sheetId="29" r:id="rId29"/>
    <sheet name="Ops Fugitive Vehicle Emissions" sheetId="30" r:id="rId30"/>
    <sheet name="Ship Emission Assumptions " sheetId="31" r:id="rId31"/>
    <sheet name="Ship Emission Calculations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auxfuel">'[1]Vessel TAC Modeling Inputs'!$H$9</definedName>
    <definedName name="auxhours">'[1]Vessel TAC Modeling Inputs'!$G$9</definedName>
    <definedName name="baselinetanks">'[2]Baseline Tank VOCs'!$A$1:$BS$42</definedName>
    <definedName name="currentmotor">'Ship Emission Calculations'!$B$15</definedName>
    <definedName name="currentsteam">'Ship Emission Calculations'!$B$16</definedName>
    <definedName name="maxannual">'[1]Vessel TAC Modeling Inputs'!$B$10</definedName>
    <definedName name="maxglc">'[1]Vessel GLC and Background Calcs'!$D$26</definedName>
    <definedName name="maxhourly">'[1]Vessel TAC Modeling Inputs'!$B$9</definedName>
    <definedName name="motor">'Ship Emission Calculations'!$B$19</definedName>
    <definedName name="postprojectefrtanks">'[2]Post Project Tanks - EFR'!$A$1:$BS$28</definedName>
    <definedName name="postprojectfixedtanks">'[2]Post Project Tanks - Fixed'!$A$1:$BS$11</definedName>
    <definedName name="_xlnm.Print_Area" localSheetId="8">'Const. Trip Mo. 1'!$A$1:$L$30</definedName>
    <definedName name="_xlnm.Print_Area" localSheetId="9">'Const. Trip Mo. 4'!$A$1:$L$29</definedName>
    <definedName name="_xlnm.Print_Area" localSheetId="10">'Const. Trip Mo. 7'!$A$1:$L$29</definedName>
    <definedName name="_xlnm.Print_Area" localSheetId="11">'Const. Trip Mo. 8'!$A$1:$L$30</definedName>
    <definedName name="_xlnm.Print_Area" localSheetId="30">'Ship Emission Assumptions '!$A$1:$I$44</definedName>
    <definedName name="_xlnm.Print_Area" localSheetId="28">'Trip Emissions'!$A$1:$L$32</definedName>
    <definedName name="_xlnm.Print_Titles" localSheetId="26">'Emission Data'!$C:$D</definedName>
    <definedName name="_xlnm.Print_Titles" localSheetId="12">'Emission Factor Calcs'!$11:$11</definedName>
    <definedName name="projecttankemissions">#REF!</definedName>
    <definedName name="stackflow56h1">'[3]Combustion Source Test Data'!#REF!</definedName>
    <definedName name="steam">'Ship Emission Calculations'!$B$20</definedName>
    <definedName name="Tank_Emissions_Data">'[4]Tank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<sst xmlns="http://schemas.openxmlformats.org/spreadsheetml/2006/main" count="1389" uniqueCount="373">
  <si>
    <t>CO</t>
  </si>
  <si>
    <t>VOC</t>
  </si>
  <si>
    <t>NOx</t>
  </si>
  <si>
    <t>PM10</t>
  </si>
  <si>
    <t>Exhaust Emissions Factor (g/mile)</t>
  </si>
  <si>
    <t>Continuous Start EF (g/trip)</t>
  </si>
  <si>
    <t>Exhaust Emission Factor (g/mile)</t>
  </si>
  <si>
    <t>Hot Soak Factor (g/trip)</t>
  </si>
  <si>
    <t>Diurmal &amp; Resting Losses (g/hr)</t>
  </si>
  <si>
    <t>Evap Running Losses (g/mile)</t>
  </si>
  <si>
    <t>Emission Factor (g/mile)</t>
  </si>
  <si>
    <t>NA</t>
  </si>
  <si>
    <t>Total</t>
  </si>
  <si>
    <t xml:space="preserve"> </t>
  </si>
  <si>
    <t>SOx</t>
  </si>
  <si>
    <t>Average Pieces of Equipment Operating</t>
  </si>
  <si>
    <t>Peak Pieces of Equipment Operating</t>
  </si>
  <si>
    <t>Hours of Operation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</si>
  <si>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</si>
  <si>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</si>
  <si>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</si>
  <si>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</si>
  <si>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</si>
  <si>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</si>
  <si>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</si>
  <si>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</si>
  <si>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</si>
  <si>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</si>
  <si>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</si>
  <si>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</si>
  <si>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</si>
  <si>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</si>
  <si>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</si>
  <si>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</si>
  <si>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</si>
  <si>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</si>
  <si>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</si>
  <si>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Table A9-9-E</t>
  </si>
  <si>
    <t>Average</t>
  </si>
  <si>
    <t>Peak</t>
  </si>
  <si>
    <t>(Controlled Emissions)</t>
  </si>
  <si>
    <t>Construction</t>
  </si>
  <si>
    <t>(Uncontrolled Emissions)</t>
  </si>
  <si>
    <t xml:space="preserve"> Fugitive Dust Construction Emission Estimates</t>
  </si>
  <si>
    <t>From Trucks and Employee Vehicles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</si>
  <si>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</si>
  <si>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</si>
  <si>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</si>
  <si>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</si>
  <si>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</si>
  <si>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</si>
  <si>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</si>
  <si>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</si>
  <si>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</si>
  <si>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</si>
  <si>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Trucks on Paved Roadways</t>
  </si>
  <si>
    <t>Diesel</t>
  </si>
  <si>
    <t>Trucks on Unpaved Roads</t>
  </si>
  <si>
    <t>* Emission Calculations from SCAQMD CEQA Air Quality Handbook, Table A9-9</t>
  </si>
  <si>
    <t>Vehicle Type</t>
  </si>
  <si>
    <t>Construction Workers Commuting</t>
  </si>
  <si>
    <t>Light Duty Trucks</t>
  </si>
  <si>
    <t>Heavy Diesel Trucks</t>
  </si>
  <si>
    <t>Parameters</t>
  </si>
  <si>
    <t>Peak Day Emissions, lbs/day</t>
  </si>
  <si>
    <t>Number of Vehicles</t>
  </si>
  <si>
    <t>Total Number of Trips</t>
  </si>
  <si>
    <t>Distance Traveled In Miles</t>
  </si>
  <si>
    <t>Source</t>
  </si>
  <si>
    <t xml:space="preserve">Exhaust Emissions </t>
  </si>
  <si>
    <t>Continuous Start Emissions</t>
  </si>
  <si>
    <t xml:space="preserve">Exhaust &amp; Running Emission </t>
  </si>
  <si>
    <t>Other VOC Emissions</t>
  </si>
  <si>
    <t>Diurnal and Resting Loss Emissions</t>
  </si>
  <si>
    <t xml:space="preserve">Exhaust Emission </t>
  </si>
  <si>
    <t xml:space="preserve">Emission </t>
  </si>
  <si>
    <t xml:space="preserve">Construction Workers Commuting </t>
  </si>
  <si>
    <t xml:space="preserve">On-site Cars  </t>
  </si>
  <si>
    <t>Daily Delivery Trucks</t>
  </si>
  <si>
    <t xml:space="preserve">Total Emissions for Construction Workers Commuting </t>
  </si>
  <si>
    <t>Total Emissions for Light Duty Trucks</t>
  </si>
  <si>
    <t>Total Emissions for Heavy Diesel Trucks</t>
  </si>
  <si>
    <t>Total Trip Emissions</t>
  </si>
  <si>
    <t>Construction Equipment</t>
  </si>
  <si>
    <t>Equipment Type</t>
  </si>
  <si>
    <t xml:space="preserve">Hours </t>
  </si>
  <si>
    <t>Emission Factors lb/hr</t>
  </si>
  <si>
    <t>Daily Emissions (lbs/day)</t>
  </si>
  <si>
    <t>Per Day</t>
  </si>
  <si>
    <t>Air Compressor 130 CFM</t>
  </si>
  <si>
    <t>Backhoe</t>
  </si>
  <si>
    <t>Dozer</t>
  </si>
  <si>
    <t>--</t>
  </si>
  <si>
    <t>Plate Compactor (Gasoline)</t>
  </si>
  <si>
    <t>Cranes</t>
  </si>
  <si>
    <t>Dump Trucks</t>
  </si>
  <si>
    <t>Flatbed Truck</t>
  </si>
  <si>
    <t>Front End Loader</t>
  </si>
  <si>
    <t>Manlifts (Boom and Scissor)</t>
  </si>
  <si>
    <t>Motor Grader</t>
  </si>
  <si>
    <t>Paver</t>
  </si>
  <si>
    <t>Pile Driver</t>
  </si>
  <si>
    <t>Trench Machine</t>
  </si>
  <si>
    <t>Forklift 4000 lb.</t>
  </si>
  <si>
    <t>Generators (Gasoline)</t>
  </si>
  <si>
    <t>Weld Machine</t>
  </si>
  <si>
    <t>Total Emission Totals</t>
  </si>
  <si>
    <t>* Emissions factors from SCAQMD CEQA Air Quality Handbook, Table 9-8-A.</t>
  </si>
  <si>
    <t xml:space="preserve">* Emissions factors from SCAQMD CEQA Air Quality Handbook, Table 9-8-C.  </t>
  </si>
  <si>
    <r>
      <t xml:space="preserve">Table 9-8-C, </t>
    </r>
    <r>
      <rPr>
        <i/>
        <sz val="8"/>
        <rFont val="Arial"/>
        <family val="2"/>
      </rPr>
      <t>Pounds/hour calculated from load factor and hp rating.</t>
    </r>
  </si>
  <si>
    <r>
      <t xml:space="preserve">* Trucks Emissions factors from SCAQMD CEQA Air Quality Handbook Table 9-8-A, </t>
    </r>
    <r>
      <rPr>
        <i/>
        <sz val="8"/>
        <rFont val="Arial"/>
        <family val="2"/>
      </rPr>
      <t>Trucks:off highway diesel used for truck:pickup/stake bed.</t>
    </r>
  </si>
  <si>
    <r>
      <t xml:space="preserve">* Emissions factors from SCAQMD CEQA Air Quality Handbook, Table 9-8-A, </t>
    </r>
    <r>
      <rPr>
        <i/>
        <sz val="8"/>
        <rFont val="Arial"/>
        <family val="2"/>
      </rPr>
      <t>Emissions for equipment not specifically listed can be found under miscellaneous.</t>
    </r>
  </si>
  <si>
    <t>Workers Commuting</t>
  </si>
  <si>
    <t xml:space="preserve">Workers Commuting </t>
  </si>
  <si>
    <t>Delivery Trucks</t>
  </si>
  <si>
    <t xml:space="preserve">Emissions for Workers Commuting </t>
  </si>
  <si>
    <t>Notes</t>
  </si>
  <si>
    <t>On Road Mobile Emission Factors from California ARB EMFAC2000</t>
  </si>
  <si>
    <t>Emission factors for light duty trucks include trucks have non-catalyst/gasoline, catalyst/gasoline engines, and diesel engines</t>
  </si>
  <si>
    <t>Diurnal &amp; Resting losses vehicle ROG emission based on the vehicle being not being operated and the ambient temperature is rising</t>
  </si>
  <si>
    <t>Based on California ARB EMFAC2000 model years 1965-2001, state-wide annual simple averages</t>
  </si>
  <si>
    <t>EMFAC2000 was finalized in May 2000</t>
  </si>
  <si>
    <t>Mitigated Emissions (assumes water 3 times/day)</t>
  </si>
  <si>
    <t>LDA-TOT</t>
  </si>
  <si>
    <t>LDT1-TOT</t>
  </si>
  <si>
    <t>LDT2-TOT</t>
  </si>
  <si>
    <t>HHDT-TOT</t>
  </si>
  <si>
    <t xml:space="preserve"> Vehicles</t>
  </si>
  <si>
    <t xml:space="preserve"> VMT/1000</t>
  </si>
  <si>
    <t xml:space="preserve"> Trips   </t>
  </si>
  <si>
    <t>Emission Factors LDA</t>
  </si>
  <si>
    <t>Emission Factors LDT 1&amp;2</t>
  </si>
  <si>
    <t>Emission Factors HHDT</t>
  </si>
  <si>
    <t>Emissions (tons/day)</t>
  </si>
  <si>
    <t>Exhaust (g/mi)</t>
  </si>
  <si>
    <t>Continuous Start (g/trip)</t>
  </si>
  <si>
    <t>Hot Soak (g/trip)</t>
  </si>
  <si>
    <t>Diurnal &amp; Resting Losses (g/mi)</t>
  </si>
  <si>
    <t>Evap Running Loss (g/mi)</t>
  </si>
  <si>
    <t xml:space="preserve">                                                                                  Reactive Organic Gas Emissions</t>
  </si>
  <si>
    <t xml:space="preserve"> Run Exh </t>
  </si>
  <si>
    <t xml:space="preserve"> Idle Exh</t>
  </si>
  <si>
    <t xml:space="preserve"> Start Ex</t>
  </si>
  <si>
    <t xml:space="preserve"> Total Ex</t>
  </si>
  <si>
    <t xml:space="preserve"> Diurnal </t>
  </si>
  <si>
    <t xml:space="preserve"> Hot Soak</t>
  </si>
  <si>
    <t xml:space="preserve"> Running </t>
  </si>
  <si>
    <t xml:space="preserve"> Resting </t>
  </si>
  <si>
    <t xml:space="preserve"> Total   </t>
  </si>
  <si>
    <t xml:space="preserve">                                                                                    Carbon Monoxide Emissions   </t>
  </si>
  <si>
    <t xml:space="preserve">                                                                                   Oxides of Nitrogen Emissions </t>
  </si>
  <si>
    <t xml:space="preserve">                                                                                  Carbon Dioxide Emissions (000)</t>
  </si>
  <si>
    <t xml:space="preserve">                                                                                         PM10 Emissions         </t>
  </si>
  <si>
    <t xml:space="preserve"> TireWear</t>
  </si>
  <si>
    <t xml:space="preserve"> BrakeWr </t>
  </si>
  <si>
    <t xml:space="preserve"> Lead    </t>
  </si>
  <si>
    <t xml:space="preserve"> SOx     </t>
  </si>
  <si>
    <t>Fuel Consumption (1000 gallons)</t>
  </si>
  <si>
    <t xml:space="preserve"> Gasoline</t>
  </si>
  <si>
    <t xml:space="preserve"> Diesel  </t>
  </si>
  <si>
    <t xml:space="preserve">     Project 1936 Scenario                                                                                                                                                             </t>
  </si>
  <si>
    <t xml:space="preserve"> EMFAC2000 Version 2.02</t>
  </si>
  <si>
    <t xml:space="preserve"> Calendar Year: 2001 -- Model Years: 1965 to 2001 -- Statewide Totals                                                                      </t>
  </si>
  <si>
    <t>TOTAL EMISSIONS</t>
  </si>
  <si>
    <r>
      <t>Construction Activities</t>
    </r>
    <r>
      <rPr>
        <vertAlign val="superscript"/>
        <sz val="10"/>
        <rFont val="Arial"/>
        <family val="2"/>
      </rPr>
      <t>(1)</t>
    </r>
  </si>
  <si>
    <r>
      <t>Construction Activities</t>
    </r>
    <r>
      <rPr>
        <vertAlign val="superscript"/>
        <sz val="10"/>
        <rFont val="Arial"/>
        <family val="2"/>
      </rPr>
      <t>(2)</t>
    </r>
  </si>
  <si>
    <t>* Emission Calculations for travel on paved roads from EPA AP-42 Section 13.2.1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</si>
  <si>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 xml:space="preserve">1.5  </t>
    </r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</si>
  <si>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</si>
  <si>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</si>
  <si>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and 20 for heavy trucks)</t>
  </si>
  <si>
    <r>
      <t>E = 2.6(s/12)</t>
    </r>
    <r>
      <rPr>
        <vertAlign val="superscript"/>
        <sz val="8"/>
        <rFont val="Arial"/>
        <family val="2"/>
      </rPr>
      <t>0.8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</t>
    </r>
    <r>
      <rPr>
        <sz val="8"/>
        <rFont val="Arial"/>
        <family val="2"/>
      </rPr>
      <t>/(M/0.2)</t>
    </r>
    <r>
      <rPr>
        <vertAlign val="superscript"/>
        <sz val="8"/>
        <rFont val="Arial"/>
        <family val="2"/>
      </rPr>
      <t xml:space="preserve">0.3  </t>
    </r>
  </si>
  <si>
    <t xml:space="preserve">Where:  s = surface silt content (assumed to be 11%, AP-42 Table 13.2.2-1), W = vehicle weight (tons) same assumptions as above, and </t>
  </si>
  <si>
    <t>M = material moisture content (assumed to be 10 percent since these emissions would only come from a water truck watering the site).</t>
  </si>
  <si>
    <t>**Emission Calculations for travel on unpaved roads from EPA AP-42 Section 13.2.2</t>
  </si>
  <si>
    <t>Pickup Trucks on Paved Roadways</t>
  </si>
  <si>
    <t>TRUCK FILLING/DUMPING</t>
  </si>
  <si>
    <t>Estimated Materials Handled Per Day (tons)</t>
  </si>
  <si>
    <t>Truck Dumping</t>
  </si>
  <si>
    <t>Table A9-9-G</t>
  </si>
  <si>
    <r>
      <t>Truck Filling</t>
    </r>
    <r>
      <rPr>
        <vertAlign val="superscript"/>
        <sz val="10"/>
        <rFont val="Arial"/>
        <family val="2"/>
      </rPr>
      <t>(4)</t>
    </r>
  </si>
  <si>
    <t>(4)  Used SCAQMD Table 9-9 Default emission factors.</t>
  </si>
  <si>
    <t>Construction Workers</t>
  </si>
  <si>
    <t>Months</t>
  </si>
  <si>
    <t>Start Month</t>
  </si>
  <si>
    <t>End Month</t>
  </si>
  <si>
    <t>Labor Force</t>
  </si>
  <si>
    <t>Equipment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</si>
  <si>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</si>
  <si>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</si>
  <si>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</si>
  <si>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</si>
  <si>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</si>
  <si>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</si>
  <si>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</si>
  <si>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</si>
  <si>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</si>
  <si>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</si>
  <si>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</si>
  <si>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</si>
  <si>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Air Compressor</t>
  </si>
  <si>
    <t>Bulldozer</t>
  </si>
  <si>
    <t>Compactor</t>
  </si>
  <si>
    <t>Crane</t>
  </si>
  <si>
    <t>Dump Truck</t>
  </si>
  <si>
    <t>Flat Bed Truck</t>
  </si>
  <si>
    <t>Front-End Loader</t>
  </si>
  <si>
    <t>Hydro-Lifter (15 ton)</t>
  </si>
  <si>
    <t>Pick-up Truck</t>
  </si>
  <si>
    <t>Trencher</t>
  </si>
  <si>
    <t>Water Truck</t>
  </si>
  <si>
    <t>(3)  Emissions (lbs/day/acre) = 1.7 x [(G/1.5)/(365-H/235)] x I/15 x J; where G = silt content (7.5%); H = days with &gt;0.01 inch of rain (34); I = percentage of time wind speed exceeds 12 mph (50%) and J= fraction of TSP (0.5)</t>
  </si>
  <si>
    <t>Paint Primer Architectural Coating Emissions</t>
  </si>
  <si>
    <t>Activity</t>
  </si>
  <si>
    <t>Amount</t>
  </si>
  <si>
    <t>Volume Applied (gallons/day)</t>
  </si>
  <si>
    <t>VOC Content (lb/gallon)</t>
  </si>
  <si>
    <t>SCAQMD Rule 1113 Limit</t>
  </si>
  <si>
    <t>VOC Emissions (lbs/day)</t>
  </si>
  <si>
    <r>
      <t>(1)  Emissions (lbs/hr) = [0.45 x (G</t>
    </r>
    <r>
      <rPr>
        <vertAlign val="superscript"/>
        <sz val="9"/>
        <rFont val="Arial"/>
        <family val="2"/>
      </rPr>
      <t>1.5</t>
    </r>
    <r>
      <rPr>
        <sz val="9"/>
        <rFont val="Arial"/>
        <family val="2"/>
      </rPr>
      <t>)/(H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) x 2.2046 x J; where G = silt content (7.5%), H = moisture content (2.0%) and J = hrs of operation.</t>
    </r>
  </si>
  <si>
    <r>
      <t>(2)  Emissions (lbs/ton) = 0.00112 x [(G/5)</t>
    </r>
    <r>
      <rPr>
        <vertAlign val="superscript"/>
        <sz val="9"/>
        <rFont val="Arial"/>
        <family val="2"/>
      </rPr>
      <t>1.3</t>
    </r>
    <r>
      <rPr>
        <sz val="9"/>
        <rFont val="Arial"/>
        <family val="2"/>
      </rPr>
      <t>/(H/2)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] x I/J; where G=mean wind speed (12 mph), H=moisture content of surface material (2%); I=lbs of dirt handled per day (10,000 lbs); and J=2,000 lbs/ton</t>
    </r>
  </si>
  <si>
    <t>Peak PM10 Emissions (lbs/day)</t>
  </si>
  <si>
    <t xml:space="preserve"> PM10 Emission Factor (lb/hour)</t>
  </si>
  <si>
    <t>Average   PM10 Emissions (lbs/day)</t>
  </si>
  <si>
    <t>Peak        PM10 Emissions Pounds/day</t>
  </si>
  <si>
    <t>Average   PM10 Emissions Pounds/day</t>
  </si>
  <si>
    <t>Peak         PM10 Emissions Pounds/day</t>
  </si>
  <si>
    <t>Peak           PM10 Emissions Pounds/day</t>
  </si>
  <si>
    <t>Average   PM10 Emissions Tons/Year</t>
  </si>
  <si>
    <t>Peak         PM10 Emissions Tons/Year</t>
  </si>
  <si>
    <t>PM10 Emission Factor (lb/ton)</t>
  </si>
  <si>
    <t>PM10 Emission Factor (lb/day/acre)</t>
  </si>
  <si>
    <t>TOTAL PM10 Pounds/day</t>
  </si>
  <si>
    <t>Trucks on Paved Roads</t>
  </si>
  <si>
    <t>Construction Period</t>
  </si>
  <si>
    <t>Vehicle Emissions</t>
  </si>
  <si>
    <t>Fugitive PM10 Emissions</t>
  </si>
  <si>
    <t>Fugitive Dust</t>
  </si>
  <si>
    <t>VOC Paint Emissions</t>
  </si>
  <si>
    <t>Estimated Emissions</t>
  </si>
  <si>
    <t>CONSTRUCTION SUMMARY</t>
  </si>
  <si>
    <t>GRADING AREA</t>
  </si>
  <si>
    <t>Maximum</t>
  </si>
  <si>
    <t>180' X 180'</t>
  </si>
  <si>
    <t>500' X 400'</t>
  </si>
  <si>
    <t>30' X 10'</t>
  </si>
  <si>
    <t>CARB RFG 3 / STORAGE TANK MODIFICATIONS AND RELATED FACILITIES</t>
  </si>
  <si>
    <t>REFINERY CONSTRUCTION (Month 1)</t>
  </si>
  <si>
    <t>REFINERY CONSTRUCTION (Month 4)</t>
  </si>
  <si>
    <t>REFINERY CONSTRUCTION (Month 7)</t>
  </si>
  <si>
    <t>REFINERY CONSTRUCTION (Month 8)</t>
  </si>
  <si>
    <t>CONSTRUCTION LABOR FORECAST</t>
  </si>
  <si>
    <t>CONSTRUCTION EQUIPMENT INFORMATION FOR</t>
  </si>
  <si>
    <t>]</t>
  </si>
  <si>
    <t>Painting of Storage Tanks</t>
  </si>
  <si>
    <t>Emission Factors for Cruising</t>
  </si>
  <si>
    <t>Propulsion Type</t>
  </si>
  <si>
    <t>Design Categories</t>
  </si>
  <si>
    <t>Cruise Emission Factors (lb/1000 gal)</t>
  </si>
  <si>
    <t>Shiptype</t>
  </si>
  <si>
    <t>HC</t>
  </si>
  <si>
    <t>PM</t>
  </si>
  <si>
    <t>Tanker</t>
  </si>
  <si>
    <t>Motorships</t>
  </si>
  <si>
    <t>all</t>
  </si>
  <si>
    <t>Steamships</t>
  </si>
  <si>
    <t>Emission Factors for Maneuvering</t>
  </si>
  <si>
    <t>Maneuvering Emission Factors (lb/1000 gal)</t>
  </si>
  <si>
    <t xml:space="preserve">Emission Factors for Auxiliary Power </t>
  </si>
  <si>
    <t>All Modes, Emission Factors (lb/hr)</t>
  </si>
  <si>
    <t>Engines</t>
  </si>
  <si>
    <t>Boilers</t>
  </si>
  <si>
    <t xml:space="preserve">Emission Factors for Tugboats </t>
  </si>
  <si>
    <t>Emission Factors (lb/1000 gal)</t>
  </si>
  <si>
    <t>Tugboat</t>
  </si>
  <si>
    <t>Fuel Consumption by Propulsion Type</t>
  </si>
  <si>
    <t>Fuel Consumption by Activity</t>
  </si>
  <si>
    <t>Ship Type</t>
  </si>
  <si>
    <t xml:space="preserve">Activity </t>
  </si>
  <si>
    <t>Fuel Consumption, gal/hr</t>
  </si>
  <si>
    <t>Cruising for 6.5 hrs, gal</t>
  </si>
  <si>
    <t>Maneuvering for 2 hrs, gal</t>
  </si>
  <si>
    <t>Total Cruising/ Maneuvering Fuel Consumption, gal</t>
  </si>
  <si>
    <t>Motor</t>
  </si>
  <si>
    <t>Cruising/Maneuvering</t>
  </si>
  <si>
    <t>Steam</t>
  </si>
  <si>
    <t>Fuel consumption based on most common tankers from Acurex Environmental report ppg. 4-7, 3-24</t>
  </si>
  <si>
    <t>Cruising time (avg) outside precautionary area = 5.5 hr from Acurex Environmental report pg. 4-23</t>
  </si>
  <si>
    <t>Cruising time (avg) inside precautionary area = 1hr  from Acurex Environmental report pg. 4-23</t>
  </si>
  <si>
    <t>Avg. Maneuvering time is 1.53 hrs pg.4-36 table 4-10(a) rounded to 2 hrs</t>
  </si>
  <si>
    <t>Conservative assumption that maneuvering consumes same fuel/hour as cruising</t>
  </si>
  <si>
    <t>Fuel Consumption for Tug Boats averaged from Mobil Reformulated Fuels Revised Draft EIR, average per tug of 42.4 gals rounded to 45 gals per tug</t>
  </si>
  <si>
    <t>Emissions from Cruising, lbs</t>
  </si>
  <si>
    <t>This table is repeated on next sheet, but next sheet is linked to this table. SO, don't print this one!!</t>
  </si>
  <si>
    <t>Fuel Consumption per Year, gals</t>
  </si>
  <si>
    <t>No. Ships</t>
  </si>
  <si>
    <t>Cruising &amp; Maneuvering</t>
  </si>
  <si>
    <t>Tug Boats</t>
  </si>
  <si>
    <t>Currently</t>
  </si>
  <si>
    <t xml:space="preserve">Total </t>
  </si>
  <si>
    <t>Proposed</t>
  </si>
  <si>
    <t>Increase</t>
  </si>
  <si>
    <t>Total Cruising Emissions lbs/yr</t>
  </si>
  <si>
    <t xml:space="preserve">Current and Proposed Shipments </t>
  </si>
  <si>
    <t>Ship Contents</t>
  </si>
  <si>
    <t>Current No.</t>
  </si>
  <si>
    <t>Proposed No.</t>
  </si>
  <si>
    <t>Hours at Berth</t>
  </si>
  <si>
    <t>MTBE</t>
  </si>
  <si>
    <t>Blendstocks</t>
  </si>
  <si>
    <t>Ethanol</t>
  </si>
  <si>
    <t>Assume 50/50 split of motor versus steam per cargo</t>
  </si>
  <si>
    <t>Total Maneuvering Emissions lbs/yr</t>
  </si>
  <si>
    <t>Emissions from Auxiliary Power (lbs/yr)</t>
  </si>
  <si>
    <t>Cargo</t>
  </si>
  <si>
    <t>Berth Time/ Ship, hrs</t>
  </si>
  <si>
    <t>Total Berth Time, hrs</t>
  </si>
  <si>
    <t>Current</t>
  </si>
  <si>
    <t>Emissions from Tug Boats</t>
  </si>
  <si>
    <t>No. of Ships</t>
  </si>
  <si>
    <t>No. of Tug Boats/ Ship</t>
  </si>
  <si>
    <t>Maneuvering Time, hours</t>
  </si>
  <si>
    <t>No. of Tug Boats</t>
  </si>
  <si>
    <t>Mobil Revised EIR Data</t>
  </si>
  <si>
    <t>Annual, lbs/yr</t>
  </si>
  <si>
    <t>Per Tug, lbs/hr</t>
  </si>
  <si>
    <t>Ultramar Current Operations</t>
  </si>
  <si>
    <t>Ultramar Proposed Project</t>
  </si>
  <si>
    <t>overall (cruising, maneuvering, auxiliary power, &amp; tug boats) (lb/yr)</t>
  </si>
  <si>
    <t>overall (cruising, maneuvering, auxiliary power, &amp; tug boats)(lb/visit)</t>
  </si>
  <si>
    <t>GRADING AND EXCAVATION ESTIMATES</t>
  </si>
  <si>
    <t>VOLUME (CUBIC YARDS)</t>
  </si>
  <si>
    <t>PROPOSED MODIFICATION</t>
  </si>
  <si>
    <t>Unit 82 South Tank Farm (1 new 150 Mbbl tank, piping, &amp; pumps)</t>
  </si>
  <si>
    <t>DWP Olympic Tank Farm (5 new 100 Mbbl tanks &amp; 2 new pumps)</t>
  </si>
  <si>
    <t>DWP Marine Tank Farm (2 new pumps, 2 relocated pumps)</t>
  </si>
  <si>
    <t>Component</t>
  </si>
  <si>
    <t>Quantity</t>
  </si>
  <si>
    <t>Emission Factor (lb/yr)</t>
  </si>
  <si>
    <t>Emissions (lb/yr)</t>
  </si>
  <si>
    <t>Pumps</t>
  </si>
  <si>
    <t>Drains</t>
  </si>
  <si>
    <t>Valves</t>
  </si>
  <si>
    <t>Connectors</t>
  </si>
  <si>
    <t>PRV's</t>
  </si>
  <si>
    <t>Estimated Fuel Usage (1000 gal)</t>
  </si>
  <si>
    <t>Diesel Fire Water Pumps</t>
  </si>
  <si>
    <t>(1) Emission factors from SCAQMD General Instruction Book for the 2000-2001 AER Program Appendix A.</t>
  </si>
  <si>
    <r>
      <t>Emission Factor (lb/1000 gal)</t>
    </r>
    <r>
      <rPr>
        <b/>
        <vertAlign val="superscript"/>
        <sz val="10"/>
        <rFont val="Arial"/>
        <family val="2"/>
      </rPr>
      <t>(1)</t>
    </r>
  </si>
  <si>
    <t>NAME</t>
  </si>
  <si>
    <t>TANK_TYPE</t>
  </si>
  <si>
    <t>USER ID</t>
  </si>
  <si>
    <t>DESC</t>
  </si>
  <si>
    <t>RIM_LOSS</t>
  </si>
  <si>
    <t>WD_LOSS</t>
  </si>
  <si>
    <t>DECKF_LOSS</t>
  </si>
  <si>
    <t>WITH DOMES TOTAL, LBS/YEAR</t>
  </si>
  <si>
    <t>W/OUT DOMES TOTAL, LBS/YEAR</t>
  </si>
  <si>
    <t>REDUCTION, LBS/YEAR</t>
  </si>
  <si>
    <t>Maximum Day Per Visit Calculations</t>
  </si>
  <si>
    <t>12 hrs of Average Hotelling Emissions per Day per Visit, lbs</t>
  </si>
  <si>
    <t>8.5 hrs of Cruising/Maneuvering Emissions per Visit, lbs</t>
  </si>
  <si>
    <t>8.5 hrs of Cruising/Maneuvering Emissions per Day, lbs</t>
  </si>
  <si>
    <t>Estimated Tug Boat Emissions per Visit for 2 Tug Boats, lbs</t>
  </si>
  <si>
    <t>Emissions per Day per Visit (1), lbs</t>
  </si>
  <si>
    <t>24 hrs of Average Hotelling Emissions per Day per Visit, lbs</t>
  </si>
  <si>
    <t>4.25 hrs of Cruising/Maneuvering Emissions per Day, lbs</t>
  </si>
  <si>
    <t>Emissions per Day per Visit (2), lbs</t>
  </si>
  <si>
    <t>Daily Difference, lbs</t>
  </si>
  <si>
    <t xml:space="preserve">(1) Maximum 24-hour day of emissions includes 8.5 hours of cruising &amp; manuevering, tug boat assistance during manuevering </t>
  </si>
  <si>
    <t>and 12 hours of hotelling.  All cruising, manuevering, and tug boat assistance assumed to occur on the same day.</t>
  </si>
  <si>
    <t>and 19.75 hours of hotelling.</t>
  </si>
  <si>
    <t>(2) Maximum 24-hour day of emissions includes half the cruising &amp; manuevering (4.25), half the tug boat assistance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</si>
</sst>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MS Sans Serif"/>
      <family val="0"/>
    </font>
    <font>
      <sz val="8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2.5"/>
      <color indexed="8"/>
      <name val="Arial"/>
      <family val="0"/>
    </font>
    <font>
      <sz val="21.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/>
      <right style="thick"/>
      <top/>
      <bottom/>
    </border>
    <border>
      <left style="thin"/>
      <right style="thick"/>
      <top style="medium"/>
      <bottom style="double"/>
    </border>
    <border>
      <left style="thick"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2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2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38" xfId="0" applyFill="1" applyBorder="1" applyAlignment="1">
      <alignment/>
    </xf>
    <xf numFmtId="0" fontId="0" fillId="33" borderId="40" xfId="0" applyFill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20" xfId="0" applyNumberFormat="1" applyBorder="1" applyAlignment="1" quotePrefix="1">
      <alignment horizontal="center"/>
    </xf>
    <xf numFmtId="2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4" borderId="47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/>
    </xf>
    <xf numFmtId="0" fontId="6" fillId="0" borderId="0" xfId="0" applyFont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51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31" xfId="0" applyNumberFormat="1" applyBorder="1" applyAlignment="1">
      <alignment horizontal="center"/>
    </xf>
    <xf numFmtId="2" fontId="0" fillId="0" borderId="56" xfId="0" applyNumberFormat="1" applyBorder="1" applyAlignment="1">
      <alignment/>
    </xf>
    <xf numFmtId="0" fontId="5" fillId="0" borderId="57" xfId="0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6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65" xfId="0" applyBorder="1" applyAlignment="1">
      <alignment/>
    </xf>
    <xf numFmtId="164" fontId="0" fillId="0" borderId="6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72" xfId="0" applyBorder="1" applyAlignment="1">
      <alignment/>
    </xf>
    <xf numFmtId="0" fontId="2" fillId="0" borderId="73" xfId="0" applyFont="1" applyBorder="1" applyAlignment="1">
      <alignment/>
    </xf>
    <xf numFmtId="0" fontId="0" fillId="0" borderId="67" xfId="0" applyBorder="1" applyAlignment="1">
      <alignment/>
    </xf>
    <xf numFmtId="0" fontId="2" fillId="0" borderId="74" xfId="0" applyFont="1" applyBorder="1" applyAlignment="1">
      <alignment/>
    </xf>
    <xf numFmtId="0" fontId="0" fillId="0" borderId="63" xfId="0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2" fontId="2" fillId="0" borderId="68" xfId="0" applyNumberFormat="1" applyFont="1" applyBorder="1" applyAlignment="1">
      <alignment horizontal="left"/>
    </xf>
    <xf numFmtId="2" fontId="0" fillId="0" borderId="67" xfId="0" applyNumberForma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0" xfId="0" applyAlignment="1">
      <alignment horizontal="center"/>
    </xf>
    <xf numFmtId="2" fontId="0" fillId="0" borderId="33" xfId="0" applyNumberFormat="1" applyBorder="1" applyAlignment="1">
      <alignment/>
    </xf>
    <xf numFmtId="0" fontId="10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0" xfId="0" applyFont="1" applyAlignment="1">
      <alignment/>
    </xf>
    <xf numFmtId="165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2" fontId="0" fillId="0" borderId="78" xfId="0" applyNumberFormat="1" applyBorder="1" applyAlignment="1">
      <alignment/>
    </xf>
    <xf numFmtId="2" fontId="0" fillId="0" borderId="73" xfId="0" applyNumberFormat="1" applyBorder="1" applyAlignment="1">
      <alignment horizontal="center"/>
    </xf>
    <xf numFmtId="2" fontId="0" fillId="0" borderId="79" xfId="0" applyNumberFormat="1" applyBorder="1" applyAlignment="1">
      <alignment/>
    </xf>
    <xf numFmtId="0" fontId="0" fillId="0" borderId="19" xfId="0" applyFont="1" applyBorder="1" applyAlignment="1">
      <alignment horizontal="left"/>
    </xf>
    <xf numFmtId="2" fontId="0" fillId="0" borderId="8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Alignment="1">
      <alignment/>
    </xf>
    <xf numFmtId="2" fontId="0" fillId="0" borderId="50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0" fillId="0" borderId="76" xfId="0" applyBorder="1" applyAlignment="1">
      <alignment wrapText="1"/>
    </xf>
    <xf numFmtId="0" fontId="0" fillId="0" borderId="76" xfId="0" applyBorder="1" applyAlignment="1">
      <alignment horizontal="left" wrapText="1"/>
    </xf>
    <xf numFmtId="0" fontId="0" fillId="0" borderId="88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78" xfId="0" applyNumberForma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2" fontId="0" fillId="0" borderId="91" xfId="0" applyNumberFormat="1" applyBorder="1" applyAlignment="1">
      <alignment horizontal="center"/>
    </xf>
    <xf numFmtId="0" fontId="0" fillId="0" borderId="71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0" fillId="0" borderId="84" xfId="0" applyBorder="1" applyAlignment="1">
      <alignment horizontal="center" wrapText="1"/>
    </xf>
    <xf numFmtId="2" fontId="0" fillId="0" borderId="64" xfId="0" applyNumberFormat="1" applyBorder="1" applyAlignment="1">
      <alignment/>
    </xf>
    <xf numFmtId="2" fontId="0" fillId="0" borderId="71" xfId="0" applyNumberFormat="1" applyBorder="1" applyAlignment="1">
      <alignment/>
    </xf>
    <xf numFmtId="0" fontId="0" fillId="0" borderId="64" xfId="0" applyBorder="1" applyAlignment="1">
      <alignment horizontal="right"/>
    </xf>
    <xf numFmtId="0" fontId="0" fillId="0" borderId="71" xfId="0" applyBorder="1" applyAlignment="1">
      <alignment horizontal="right"/>
    </xf>
    <xf numFmtId="0" fontId="14" fillId="0" borderId="0" xfId="0" applyFont="1" applyAlignment="1">
      <alignment/>
    </xf>
    <xf numFmtId="0" fontId="0" fillId="0" borderId="71" xfId="0" applyBorder="1" applyAlignment="1">
      <alignment horizontal="center"/>
    </xf>
    <xf numFmtId="0" fontId="9" fillId="0" borderId="0" xfId="0" applyFont="1" applyAlignment="1">
      <alignment/>
    </xf>
    <xf numFmtId="164" fontId="0" fillId="0" borderId="71" xfId="0" applyNumberForma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0" xfId="0" applyBorder="1" applyAlignment="1">
      <alignment/>
    </xf>
    <xf numFmtId="2" fontId="0" fillId="0" borderId="67" xfId="0" applyNumberFormat="1" applyBorder="1" applyAlignment="1">
      <alignment/>
    </xf>
    <xf numFmtId="2" fontId="0" fillId="0" borderId="72" xfId="0" applyNumberFormat="1" applyBorder="1" applyAlignment="1">
      <alignment/>
    </xf>
    <xf numFmtId="0" fontId="0" fillId="0" borderId="73" xfId="0" applyBorder="1" applyAlignment="1">
      <alignment vertical="center" wrapText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2" fontId="0" fillId="0" borderId="96" xfId="0" applyNumberFormat="1" applyBorder="1" applyAlignment="1">
      <alignment horizontal="center"/>
    </xf>
    <xf numFmtId="2" fontId="0" fillId="0" borderId="97" xfId="0" applyNumberFormat="1" applyBorder="1" applyAlignment="1">
      <alignment horizontal="center"/>
    </xf>
    <xf numFmtId="0" fontId="0" fillId="0" borderId="98" xfId="0" applyBorder="1" applyAlignment="1">
      <alignment/>
    </xf>
    <xf numFmtId="2" fontId="0" fillId="0" borderId="25" xfId="0" applyNumberForma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91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77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0" fontId="0" fillId="0" borderId="68" xfId="0" applyBorder="1" applyAlignment="1">
      <alignment/>
    </xf>
    <xf numFmtId="0" fontId="2" fillId="33" borderId="75" xfId="0" applyFont="1" applyFill="1" applyBorder="1" applyAlignment="1">
      <alignment horizontal="center"/>
    </xf>
    <xf numFmtId="0" fontId="2" fillId="33" borderId="89" xfId="0" applyFont="1" applyFill="1" applyBorder="1" applyAlignment="1">
      <alignment horizontal="center"/>
    </xf>
    <xf numFmtId="0" fontId="0" fillId="33" borderId="99" xfId="0" applyFill="1" applyBorder="1" applyAlignment="1">
      <alignment/>
    </xf>
    <xf numFmtId="0" fontId="2" fillId="33" borderId="96" xfId="0" applyFont="1" applyFill="1" applyBorder="1" applyAlignment="1">
      <alignment/>
    </xf>
    <xf numFmtId="0" fontId="0" fillId="33" borderId="96" xfId="0" applyFill="1" applyBorder="1" applyAlignment="1">
      <alignment/>
    </xf>
    <xf numFmtId="0" fontId="0" fillId="33" borderId="59" xfId="0" applyFill="1" applyBorder="1" applyAlignment="1">
      <alignment/>
    </xf>
    <xf numFmtId="0" fontId="2" fillId="34" borderId="100" xfId="0" applyFont="1" applyFill="1" applyBorder="1" applyAlignment="1">
      <alignment horizontal="center"/>
    </xf>
    <xf numFmtId="0" fontId="2" fillId="33" borderId="101" xfId="0" applyFont="1" applyFill="1" applyBorder="1" applyAlignment="1">
      <alignment horizontal="center"/>
    </xf>
    <xf numFmtId="2" fontId="0" fillId="0" borderId="102" xfId="0" applyNumberFormat="1" applyBorder="1" applyAlignment="1">
      <alignment/>
    </xf>
    <xf numFmtId="0" fontId="0" fillId="0" borderId="103" xfId="0" applyBorder="1" applyAlignment="1">
      <alignment/>
    </xf>
    <xf numFmtId="2" fontId="0" fillId="0" borderId="29" xfId="0" applyNumberFormat="1" applyBorder="1" applyAlignment="1">
      <alignment/>
    </xf>
    <xf numFmtId="0" fontId="5" fillId="34" borderId="103" xfId="0" applyFont="1" applyFill="1" applyBorder="1" applyAlignment="1">
      <alignment horizontal="right"/>
    </xf>
    <xf numFmtId="2" fontId="0" fillId="0" borderId="104" xfId="0" applyNumberFormat="1" applyBorder="1" applyAlignment="1">
      <alignment/>
    </xf>
    <xf numFmtId="0" fontId="5" fillId="0" borderId="77" xfId="0" applyFont="1" applyFill="1" applyBorder="1" applyAlignment="1">
      <alignment horizontal="right"/>
    </xf>
    <xf numFmtId="0" fontId="0" fillId="0" borderId="105" xfId="0" applyBorder="1" applyAlignment="1">
      <alignment/>
    </xf>
    <xf numFmtId="0" fontId="2" fillId="33" borderId="106" xfId="0" applyFont="1" applyFill="1" applyBorder="1" applyAlignment="1">
      <alignment horizontal="center"/>
    </xf>
    <xf numFmtId="2" fontId="0" fillId="0" borderId="58" xfId="0" applyNumberFormat="1" applyBorder="1" applyAlignment="1">
      <alignment/>
    </xf>
    <xf numFmtId="0" fontId="0" fillId="0" borderId="79" xfId="0" applyBorder="1" applyAlignment="1">
      <alignment/>
    </xf>
    <xf numFmtId="0" fontId="2" fillId="33" borderId="107" xfId="0" applyFont="1" applyFill="1" applyBorder="1" applyAlignment="1">
      <alignment horizontal="center"/>
    </xf>
    <xf numFmtId="0" fontId="0" fillId="0" borderId="108" xfId="0" applyBorder="1" applyAlignment="1">
      <alignment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9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0" fontId="2" fillId="0" borderId="111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0" fillId="0" borderId="20" xfId="0" applyBorder="1" applyAlignment="1">
      <alignment wrapText="1"/>
    </xf>
    <xf numFmtId="0" fontId="20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97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11" xfId="0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2" fillId="0" borderId="6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19" xfId="0" applyBorder="1" applyAlignment="1">
      <alignment horizontal="left"/>
    </xf>
    <xf numFmtId="0" fontId="21" fillId="0" borderId="70" xfId="0" applyFont="1" applyBorder="1" applyAlignment="1">
      <alignment horizontal="center" vertical="top" wrapText="1"/>
    </xf>
    <xf numFmtId="0" fontId="21" fillId="0" borderId="71" xfId="0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center" wrapText="1"/>
    </xf>
    <xf numFmtId="0" fontId="0" fillId="0" borderId="19" xfId="55" applyFont="1" applyBorder="1">
      <alignment/>
      <protection/>
    </xf>
    <xf numFmtId="0" fontId="0" fillId="0" borderId="20" xfId="55" applyFont="1" applyBorder="1">
      <alignment/>
      <protection/>
    </xf>
    <xf numFmtId="0" fontId="2" fillId="0" borderId="64" xfId="55" applyFont="1" applyBorder="1" applyAlignment="1">
      <alignment horizontal="center"/>
      <protection/>
    </xf>
    <xf numFmtId="0" fontId="2" fillId="0" borderId="70" xfId="55" applyFont="1" applyBorder="1" applyAlignment="1">
      <alignment horizontal="center"/>
      <protection/>
    </xf>
    <xf numFmtId="0" fontId="2" fillId="0" borderId="70" xfId="55" applyFont="1" applyBorder="1" applyAlignment="1">
      <alignment horizontal="center" wrapText="1"/>
      <protection/>
    </xf>
    <xf numFmtId="0" fontId="2" fillId="0" borderId="71" xfId="55" applyFont="1" applyBorder="1" applyAlignment="1">
      <alignment horizontal="center" wrapText="1"/>
      <protection/>
    </xf>
    <xf numFmtId="0" fontId="0" fillId="0" borderId="19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9" fillId="0" borderId="0" xfId="0" applyFont="1" applyAlignment="1" quotePrefix="1">
      <alignment/>
    </xf>
    <xf numFmtId="0" fontId="0" fillId="0" borderId="82" xfId="0" applyBorder="1" applyAlignment="1">
      <alignment/>
    </xf>
    <xf numFmtId="0" fontId="2" fillId="0" borderId="67" xfId="0" applyFont="1" applyBorder="1" applyAlignment="1">
      <alignment/>
    </xf>
    <xf numFmtId="0" fontId="0" fillId="0" borderId="77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86" xfId="0" applyBorder="1" applyAlignment="1">
      <alignment/>
    </xf>
    <xf numFmtId="0" fontId="0" fillId="0" borderId="20" xfId="56" applyFont="1" applyBorder="1">
      <alignment/>
      <protection/>
    </xf>
    <xf numFmtId="0" fontId="0" fillId="0" borderId="20" xfId="56" applyFont="1" applyBorder="1" applyAlignment="1">
      <alignment horizontal="center" wrapText="1"/>
      <protection/>
    </xf>
    <xf numFmtId="0" fontId="0" fillId="0" borderId="0" xfId="56" applyFont="1">
      <alignment/>
      <protection/>
    </xf>
    <xf numFmtId="43" fontId="0" fillId="0" borderId="20" xfId="42" applyFont="1" applyBorder="1" applyAlignment="1">
      <alignment/>
    </xf>
    <xf numFmtId="43" fontId="0" fillId="0" borderId="20" xfId="42" applyFont="1" applyBorder="1" applyAlignment="1">
      <alignment wrapText="1"/>
    </xf>
    <xf numFmtId="43" fontId="0" fillId="0" borderId="20" xfId="56" applyNumberFormat="1" applyFont="1" applyBorder="1">
      <alignment/>
      <protection/>
    </xf>
    <xf numFmtId="0" fontId="0" fillId="0" borderId="0" xfId="56" applyFont="1" applyAlignment="1">
      <alignment wrapText="1"/>
      <protection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54" xfId="0" applyBorder="1" applyAlignment="1">
      <alignment/>
    </xf>
    <xf numFmtId="0" fontId="3" fillId="0" borderId="1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4" xfId="0" applyFont="1" applyBorder="1" applyAlignment="1">
      <alignment horizontal="right"/>
    </xf>
    <xf numFmtId="0" fontId="3" fillId="0" borderId="54" xfId="0" applyFont="1" applyBorder="1" applyAlignment="1">
      <alignment/>
    </xf>
    <xf numFmtId="0" fontId="3" fillId="0" borderId="1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8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8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7" xfId="0" applyBorder="1" applyAlignment="1">
      <alignment/>
    </xf>
    <xf numFmtId="2" fontId="0" fillId="0" borderId="117" xfId="0" applyNumberFormat="1" applyBorder="1" applyAlignment="1">
      <alignment horizontal="center"/>
    </xf>
    <xf numFmtId="2" fontId="0" fillId="0" borderId="115" xfId="0" applyNumberFormat="1" applyBorder="1" applyAlignment="1">
      <alignment/>
    </xf>
    <xf numFmtId="2" fontId="0" fillId="0" borderId="118" xfId="0" applyNumberFormat="1" applyBorder="1" applyAlignment="1">
      <alignment/>
    </xf>
    <xf numFmtId="2" fontId="0" fillId="0" borderId="65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02" xfId="0" applyNumberFormat="1" applyBorder="1" applyAlignment="1">
      <alignment/>
    </xf>
    <xf numFmtId="2" fontId="0" fillId="0" borderId="118" xfId="0" applyNumberFormat="1" applyBorder="1" applyAlignment="1">
      <alignment horizontal="center"/>
    </xf>
    <xf numFmtId="2" fontId="0" fillId="0" borderId="102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7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6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98" xfId="0" applyBorder="1" applyAlignment="1">
      <alignment wrapText="1"/>
    </xf>
    <xf numFmtId="0" fontId="0" fillId="0" borderId="76" xfId="0" applyBorder="1" applyAlignment="1">
      <alignment wrapText="1"/>
    </xf>
    <xf numFmtId="2" fontId="0" fillId="0" borderId="75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32" xfId="0" applyBorder="1" applyAlignment="1">
      <alignment/>
    </xf>
    <xf numFmtId="2" fontId="2" fillId="0" borderId="111" xfId="0" applyNumberFormat="1" applyFont="1" applyBorder="1" applyAlignment="1">
      <alignment horizontal="center"/>
    </xf>
    <xf numFmtId="2" fontId="2" fillId="0" borderId="97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4" xfId="0" applyBorder="1" applyAlignment="1">
      <alignment horizontal="center" wrapText="1"/>
    </xf>
    <xf numFmtId="0" fontId="0" fillId="0" borderId="119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120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0" fillId="0" borderId="0" xfId="0" applyAlignment="1">
      <alignment horizontal="center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96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0" fillId="0" borderId="85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9" xfId="0" applyBorder="1" applyAlignment="1">
      <alignment horizontal="center" wrapText="1"/>
    </xf>
    <xf numFmtId="0" fontId="0" fillId="0" borderId="90" xfId="0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2" fontId="0" fillId="0" borderId="115" xfId="0" applyNumberForma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111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4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lympic Tank Farm Emissions" xfId="55"/>
    <cellStyle name="Normal_Rev1_Storage Tank Calcs with Domes" xfId="56"/>
    <cellStyle name="Note" xfId="57"/>
    <cellStyle name="Output" xfId="58"/>
    <cellStyle name="Percent" xfId="59"/>
    <cellStyle name="Title" xfId="60"/>
    <cellStyle name="TnkCalx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CONSTRUCTION RELATED LABOR FORCAST
CARB RFG 3 / MTBE PHASE-OUT PROJECT
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405"/>
          <c:w val="0.833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'Labor Forecast Data'!$D$3</c:f>
              <c:strCache>
                <c:ptCount val="1"/>
                <c:pt idx="0">
                  <c:v>Construction Workers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'Labor Forecast Data'!$D$4:$D$20</c:f>
              <c:numCache>
                <c:ptCount val="1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100</c:v>
                </c:pt>
                <c:pt idx="7">
                  <c:v>50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62695613"/>
        <c:axId val="34533154"/>
      </c:lineChart>
      <c:catAx>
        <c:axId val="62695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CONSTRUCTION PERIOD
(Months)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3154"/>
        <c:crosses val="autoZero"/>
        <c:auto val="1"/>
        <c:lblOffset val="100"/>
        <c:tickLblSkip val="1"/>
        <c:noMultiLvlLbl val="0"/>
      </c:catAx>
      <c:valAx>
        <c:axId val="34533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CONSTRUCTION WORKERS
(Number)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5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"/>
          <c:y val="0.25025"/>
          <c:w val="0.206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13</xdr:col>
      <xdr:colOff>561975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76200" y="171450"/>
        <a:ext cx="89820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2/nonaqmd/ultramar/final/2105Appendix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POST%20PROJECT%20HRA\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WINDOWS/TEMP/CALCS_ab2588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Tank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2/nonaqmd/ultramar/final/Rev1_Storage%20Tank%20Calcs%20with%20Dom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1936/Ship%20Emis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ssel GLC and Background Calcs"/>
      <sheetName val="Vessel Threshold Evaluation"/>
      <sheetName val="Vessel TAC Modeling Inputs"/>
    </sheetNames>
    <sheetDataSet>
      <sheetData sheetId="0">
        <row r="26">
          <cell r="D26">
            <v>11.64</v>
          </cell>
        </row>
      </sheetData>
      <sheetData sheetId="2">
        <row r="9">
          <cell r="B9">
            <v>11.68921</v>
          </cell>
          <cell r="G9">
            <v>1164</v>
          </cell>
          <cell r="H9">
            <v>58200</v>
          </cell>
        </row>
        <row r="10">
          <cell r="B10">
            <v>1.12075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nk run"/>
      <sheetName val="Emission Data"/>
    </sheetNames>
    <sheetDataSet>
      <sheetData sheetId="0">
        <row r="2">
          <cell r="D2" t="str">
            <v>Organic Liquid/Naphtha</v>
          </cell>
          <cell r="F2" t="str">
            <v>Domed External Floating Roof Tank</v>
          </cell>
          <cell r="G2" t="str">
            <v>199-TK-301</v>
          </cell>
          <cell r="K2" t="str">
            <v>Marine Tank Farm</v>
          </cell>
          <cell r="T2">
            <v>462.7088987891453</v>
          </cell>
          <cell r="U2">
            <v>1056.16</v>
          </cell>
          <cell r="V2">
            <v>1881.065909877472</v>
          </cell>
        </row>
        <row r="3">
          <cell r="D3" t="str">
            <v>Gasoline/Gasoline Blend Components</v>
          </cell>
          <cell r="F3" t="str">
            <v>Domed External Floating Roof Tank</v>
          </cell>
          <cell r="G3" t="str">
            <v>299-TK-1001</v>
          </cell>
          <cell r="K3" t="str">
            <v>Olympic Tank Farm</v>
          </cell>
          <cell r="T3">
            <v>1665.752035640923</v>
          </cell>
          <cell r="U3">
            <v>176.02666666666664</v>
          </cell>
          <cell r="V3">
            <v>2657.799914644851</v>
          </cell>
        </row>
        <row r="4">
          <cell r="D4" t="str">
            <v>Organic Liquid/Naphtha</v>
          </cell>
          <cell r="F4" t="str">
            <v>Domed External Floating Roof Tank</v>
          </cell>
          <cell r="G4" t="str">
            <v>299-TK-1002</v>
          </cell>
          <cell r="K4" t="str">
            <v>Olympic Tank Farm</v>
          </cell>
          <cell r="T4">
            <v>1665.752035640923</v>
          </cell>
          <cell r="U4">
            <v>176.02666666666664</v>
          </cell>
          <cell r="V4">
            <v>2657.799914644851</v>
          </cell>
        </row>
        <row r="5">
          <cell r="D5" t="str">
            <v>Gasoline/Gasoline Blend Components</v>
          </cell>
          <cell r="F5" t="str">
            <v>Domed External Floating Roof Tank</v>
          </cell>
          <cell r="G5" t="str">
            <v>299-TK-1003</v>
          </cell>
          <cell r="K5" t="str">
            <v>Olympic Tank Farm</v>
          </cell>
          <cell r="T5">
            <v>832.8760178204615</v>
          </cell>
          <cell r="U5">
            <v>176.02666666666664</v>
          </cell>
          <cell r="V5">
            <v>2643.19887828306</v>
          </cell>
        </row>
        <row r="6">
          <cell r="D6" t="str">
            <v>Gasoline/Gasoline Blend Components</v>
          </cell>
          <cell r="F6" t="str">
            <v>Domed External Floating Roof Tank</v>
          </cell>
          <cell r="G6" t="str">
            <v>299-TK-1004</v>
          </cell>
          <cell r="K6" t="str">
            <v>Olympic Tank Farm</v>
          </cell>
          <cell r="T6">
            <v>1665.752035640923</v>
          </cell>
          <cell r="U6">
            <v>176.02666666666664</v>
          </cell>
          <cell r="V6">
            <v>2657.799914644851</v>
          </cell>
        </row>
        <row r="7">
          <cell r="D7" t="str">
            <v>Gasoline/Gasoline Blend Components</v>
          </cell>
          <cell r="F7" t="str">
            <v>Domed External Floating Roof Tank</v>
          </cell>
          <cell r="G7" t="str">
            <v>299-TK-1501</v>
          </cell>
          <cell r="K7" t="str">
            <v>Olympic Tank Farm</v>
          </cell>
          <cell r="T7">
            <v>925.4177975782906</v>
          </cell>
          <cell r="U7">
            <v>264.04</v>
          </cell>
          <cell r="V7">
            <v>2809.774081847152</v>
          </cell>
        </row>
        <row r="8">
          <cell r="D8" t="str">
            <v>Gasoline/Gasoline Blend Components</v>
          </cell>
          <cell r="F8" t="str">
            <v>Domed External Floating Roof Tank</v>
          </cell>
          <cell r="G8" t="str">
            <v>299-TK-1502</v>
          </cell>
          <cell r="K8" t="str">
            <v>Olympic Tank Farm</v>
          </cell>
          <cell r="T8">
            <v>925.4177975782906</v>
          </cell>
          <cell r="U8">
            <v>264.04</v>
          </cell>
          <cell r="V8">
            <v>2809.774081847152</v>
          </cell>
        </row>
        <row r="9">
          <cell r="D9" t="str">
            <v>Gasoline/Gasoline Blend Components</v>
          </cell>
          <cell r="F9" t="str">
            <v>Domed External Floating Roof Tank</v>
          </cell>
          <cell r="G9" t="str">
            <v>299-TK-1503</v>
          </cell>
          <cell r="K9" t="str">
            <v>Olympic Tank Farm</v>
          </cell>
          <cell r="T9">
            <v>925.4177975782906</v>
          </cell>
          <cell r="U9">
            <v>264.04</v>
          </cell>
          <cell r="V9">
            <v>2809.774081847152</v>
          </cell>
        </row>
        <row r="10">
          <cell r="D10" t="str">
            <v>Gasoline/Gasoline Blend Components</v>
          </cell>
          <cell r="F10" t="str">
            <v>Domed External Floating Roof Tank</v>
          </cell>
          <cell r="G10" t="str">
            <v>299-TK-1504</v>
          </cell>
          <cell r="K10" t="str">
            <v>Olympic Tank Farm</v>
          </cell>
          <cell r="T10">
            <v>925.4177975782906</v>
          </cell>
          <cell r="U10">
            <v>264.04</v>
          </cell>
          <cell r="V10">
            <v>2809.774081847152</v>
          </cell>
        </row>
        <row r="11">
          <cell r="D11" t="str">
            <v>Organic Liquid/Naphtha</v>
          </cell>
          <cell r="F11" t="str">
            <v>Internal Floating Roof Tank</v>
          </cell>
          <cell r="G11" t="str">
            <v>299-TK-501</v>
          </cell>
          <cell r="K11" t="str">
            <v>Olympic Tank Farm</v>
          </cell>
          <cell r="T11">
            <v>616.9451983855271</v>
          </cell>
          <cell r="U11">
            <v>253.31997599999997</v>
          </cell>
          <cell r="V11">
            <v>13963.526323459097</v>
          </cell>
        </row>
        <row r="12">
          <cell r="D12" t="str">
            <v>Gasoline/Gasoline Blend Components</v>
          </cell>
          <cell r="F12" t="str">
            <v>Internal Floating Roof Tank</v>
          </cell>
          <cell r="G12" t="str">
            <v>299-TK-721</v>
          </cell>
          <cell r="K12" t="str">
            <v>Olympic Tank Farm</v>
          </cell>
          <cell r="T12">
            <v>740.3342380626325</v>
          </cell>
          <cell r="U12">
            <v>140.4912833333333</v>
          </cell>
          <cell r="V12">
            <v>16392.233921103456</v>
          </cell>
        </row>
        <row r="13">
          <cell r="D13" t="str">
            <v>Gasoline/Gasoline Blend Components</v>
          </cell>
          <cell r="F13" t="str">
            <v>Internal Floating Roof Tank</v>
          </cell>
          <cell r="G13" t="str">
            <v>299-TK-722</v>
          </cell>
          <cell r="K13" t="str">
            <v>Olympic Tank Farm</v>
          </cell>
          <cell r="T13">
            <v>740.3342380626325</v>
          </cell>
          <cell r="U13">
            <v>140.4912833333333</v>
          </cell>
          <cell r="V13">
            <v>16392.233921103456</v>
          </cell>
        </row>
        <row r="14">
          <cell r="D14" t="str">
            <v>Gasoline/Gasoline Blend Components</v>
          </cell>
          <cell r="F14" t="str">
            <v>Domed External Floating Roof Tank</v>
          </cell>
          <cell r="G14" t="str">
            <v>82-TK-11</v>
          </cell>
          <cell r="K14" t="str">
            <v>Wilmington Refinery</v>
          </cell>
          <cell r="T14">
            <v>925.4177975782906</v>
          </cell>
          <cell r="U14">
            <v>475.27199999999993</v>
          </cell>
          <cell r="V14">
            <v>2809.774081847152</v>
          </cell>
        </row>
        <row r="15">
          <cell r="D15" t="str">
            <v>Organic Liquid/Naphtha</v>
          </cell>
          <cell r="F15" t="str">
            <v>Domed External Floating Roof Tank</v>
          </cell>
          <cell r="G15" t="str">
            <v>99-TK-21001</v>
          </cell>
          <cell r="K15" t="str">
            <v>Marine Terminal</v>
          </cell>
          <cell r="T15">
            <v>740.3342380626325</v>
          </cell>
          <cell r="U15">
            <v>132.02</v>
          </cell>
          <cell r="V15">
            <v>1598.2993606174384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ip Emission Assumptions "/>
      <sheetName val="Ship Emission Calculations"/>
    </sheetNames>
    <sheetDataSet>
      <sheetData sheetId="0">
        <row r="11">
          <cell r="D11">
            <v>639</v>
          </cell>
          <cell r="E11">
            <v>19</v>
          </cell>
          <cell r="F11">
            <v>58</v>
          </cell>
          <cell r="G11">
            <v>57</v>
          </cell>
          <cell r="H11">
            <v>363</v>
          </cell>
        </row>
        <row r="12">
          <cell r="D12">
            <v>56</v>
          </cell>
          <cell r="E12">
            <v>0.7</v>
          </cell>
          <cell r="F12">
            <v>3.5</v>
          </cell>
          <cell r="G12">
            <v>20</v>
          </cell>
          <cell r="H12">
            <v>363</v>
          </cell>
        </row>
        <row r="18">
          <cell r="D18">
            <v>14.7</v>
          </cell>
          <cell r="E18">
            <v>2.8</v>
          </cell>
          <cell r="F18">
            <v>1.6</v>
          </cell>
          <cell r="G18">
            <v>0.6</v>
          </cell>
          <cell r="H18">
            <v>8</v>
          </cell>
        </row>
        <row r="19">
          <cell r="D19">
            <v>2.7</v>
          </cell>
          <cell r="E19">
            <v>0.1</v>
          </cell>
          <cell r="F19">
            <v>1.1</v>
          </cell>
          <cell r="G19">
            <v>0.3</v>
          </cell>
          <cell r="H19">
            <v>6.8</v>
          </cell>
        </row>
        <row r="20">
          <cell r="D20">
            <v>19.6</v>
          </cell>
          <cell r="E20">
            <v>0.8</v>
          </cell>
          <cell r="F20">
            <v>1</v>
          </cell>
          <cell r="G20">
            <v>2.7</v>
          </cell>
          <cell r="H20">
            <v>20.9</v>
          </cell>
        </row>
        <row r="31">
          <cell r="F31">
            <v>966</v>
          </cell>
        </row>
        <row r="32">
          <cell r="F32">
            <v>2224</v>
          </cell>
        </row>
        <row r="43">
          <cell r="B43">
            <v>2006.1405</v>
          </cell>
          <cell r="C43">
            <v>56.511</v>
          </cell>
          <cell r="D43">
            <v>172.6725</v>
          </cell>
          <cell r="E43">
            <v>178.9515</v>
          </cell>
          <cell r="F43">
            <v>1139.6385</v>
          </cell>
        </row>
        <row r="44">
          <cell r="B44">
            <v>462.592</v>
          </cell>
          <cell r="C44">
            <v>14.456</v>
          </cell>
          <cell r="D44">
            <v>50.596</v>
          </cell>
          <cell r="E44">
            <v>411.996</v>
          </cell>
          <cell r="F44">
            <v>2623.764</v>
          </cell>
        </row>
        <row r="60">
          <cell r="A60" t="str">
            <v>Fuel Consumption per Year, gals</v>
          </cell>
        </row>
        <row r="61">
          <cell r="B61" t="str">
            <v>No. Ships</v>
          </cell>
          <cell r="C61" t="str">
            <v>Cruising &amp; Maneuvering</v>
          </cell>
          <cell r="D61" t="str">
            <v>Tug Boats</v>
          </cell>
          <cell r="E61" t="str">
            <v>Total</v>
          </cell>
        </row>
        <row r="62">
          <cell r="A62" t="str">
            <v>Currently</v>
          </cell>
        </row>
        <row r="63">
          <cell r="A63" t="str">
            <v>Motor</v>
          </cell>
        </row>
        <row r="64">
          <cell r="A64" t="str">
            <v>Steam</v>
          </cell>
        </row>
        <row r="65">
          <cell r="A65" t="str">
            <v>Total </v>
          </cell>
        </row>
        <row r="66">
          <cell r="A66" t="str">
            <v>Proposed</v>
          </cell>
        </row>
        <row r="67">
          <cell r="A67" t="str">
            <v>Motor</v>
          </cell>
          <cell r="C67">
            <v>20527.5</v>
          </cell>
          <cell r="D67">
            <v>450</v>
          </cell>
          <cell r="E67">
            <v>20977.5</v>
          </cell>
        </row>
        <row r="68">
          <cell r="A68" t="str">
            <v>Steam</v>
          </cell>
          <cell r="C68">
            <v>37808</v>
          </cell>
          <cell r="D68">
            <v>360</v>
          </cell>
          <cell r="E68">
            <v>38168</v>
          </cell>
        </row>
        <row r="69">
          <cell r="A69" t="str">
            <v>Total </v>
          </cell>
          <cell r="C69">
            <v>58335.5</v>
          </cell>
          <cell r="D69">
            <v>810</v>
          </cell>
          <cell r="E69">
            <v>59145.5</v>
          </cell>
        </row>
        <row r="71">
          <cell r="C71">
            <v>58335.5</v>
          </cell>
          <cell r="D71">
            <v>810</v>
          </cell>
          <cell r="E71">
            <v>59145.5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4" max="4" width="20.28125" style="0" bestFit="1" customWidth="1"/>
    <col min="5" max="5" width="10.140625" style="0" customWidth="1"/>
  </cols>
  <sheetData>
    <row r="1" spans="1:8" ht="15">
      <c r="A1" s="387" t="s">
        <v>251</v>
      </c>
      <c r="B1" s="387"/>
      <c r="C1" s="387"/>
      <c r="D1" s="387"/>
      <c r="E1" s="387"/>
      <c r="F1" s="387"/>
      <c r="G1" s="387"/>
      <c r="H1" s="387"/>
    </row>
    <row r="2" ht="13.5" thickBot="1"/>
    <row r="3" spans="4:5" ht="13.5" thickBot="1">
      <c r="D3" s="338" t="s">
        <v>182</v>
      </c>
      <c r="E3" s="339" t="s">
        <v>183</v>
      </c>
    </row>
    <row r="4" spans="4:5" ht="12.75">
      <c r="D4" s="337">
        <v>50</v>
      </c>
      <c r="E4" s="337">
        <v>1</v>
      </c>
    </row>
    <row r="5" spans="4:5" ht="12.75">
      <c r="D5" s="305">
        <v>100</v>
      </c>
      <c r="E5" s="305">
        <v>2</v>
      </c>
    </row>
    <row r="6" spans="4:5" ht="12.75">
      <c r="D6" s="305">
        <v>150</v>
      </c>
      <c r="E6" s="305">
        <v>3</v>
      </c>
    </row>
    <row r="7" spans="4:5" ht="12.75">
      <c r="D7" s="305">
        <v>150</v>
      </c>
      <c r="E7" s="305">
        <v>4</v>
      </c>
    </row>
    <row r="8" spans="4:5" ht="12.75">
      <c r="D8" s="305">
        <v>150</v>
      </c>
      <c r="E8" s="305">
        <v>5</v>
      </c>
    </row>
    <row r="9" spans="4:5" ht="12.75">
      <c r="D9" s="305">
        <v>150</v>
      </c>
      <c r="E9" s="305">
        <v>6</v>
      </c>
    </row>
    <row r="10" spans="4:5" ht="12.75">
      <c r="D10" s="305">
        <v>100</v>
      </c>
      <c r="E10" s="305">
        <v>7</v>
      </c>
    </row>
    <row r="11" spans="4:5" ht="12.75">
      <c r="D11" s="305">
        <v>50</v>
      </c>
      <c r="E11" s="305">
        <v>8</v>
      </c>
    </row>
    <row r="12" spans="4:5" ht="12.75">
      <c r="D12" s="305">
        <v>30</v>
      </c>
      <c r="E12" s="305">
        <v>9</v>
      </c>
    </row>
    <row r="13" spans="4:5" ht="12.75">
      <c r="D13" s="305">
        <v>20</v>
      </c>
      <c r="E13" s="305">
        <v>10</v>
      </c>
    </row>
    <row r="14" spans="4:5" ht="12.75">
      <c r="D14" s="305">
        <v>10</v>
      </c>
      <c r="E14" s="305">
        <v>11</v>
      </c>
    </row>
    <row r="15" spans="4:5" ht="12.75">
      <c r="D15" s="305">
        <v>10</v>
      </c>
      <c r="E15" s="305">
        <v>12</v>
      </c>
    </row>
  </sheetData>
  <sheetProtection/>
  <mergeCells count="1">
    <mergeCell ref="A1:H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&amp;C&amp;"Arial,Bold"&amp;12TABLE A-1</oddHeader>
    <oddFooter>&amp;L&amp;8n:\2105\&amp;F:&amp;A&amp;R&amp;8&amp;D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8">
      <selection activeCell="A33" sqref="A30:IV33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150</v>
      </c>
      <c r="C11" s="425">
        <f>B11*2</f>
        <v>300</v>
      </c>
      <c r="D11" s="426">
        <v>11.5</v>
      </c>
      <c r="E11" s="450">
        <f>C11*D11*B$4/453.6</f>
        <v>68.37632275132275</v>
      </c>
      <c r="F11" s="433">
        <f>C11*C$4/453.6</f>
        <v>7.777777777777778</v>
      </c>
      <c r="G11" s="450">
        <f>C11*D11*(D$4+H$4)/453.6</f>
        <v>7.073412698412698</v>
      </c>
      <c r="H11" s="431">
        <f>C11*(E$4+F$4)/453.6</f>
        <v>1.025132275132275</v>
      </c>
      <c r="I11" s="433">
        <f>B11*8*G$4/453.6</f>
        <v>0.44973544973544977</v>
      </c>
      <c r="J11" s="435">
        <f>C11*D11*I$4/453.6</f>
        <v>6.693121693121693</v>
      </c>
      <c r="K11" s="433">
        <f>C11*J$4/453.6</f>
        <v>0.47619047619047616</v>
      </c>
      <c r="L11" s="437">
        <f>C11*D11*K$4/453.6</f>
        <v>0.3802910052910053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10</v>
      </c>
      <c r="C14" s="24">
        <f>B14*2</f>
        <v>20</v>
      </c>
      <c r="D14" s="188">
        <v>11.5</v>
      </c>
      <c r="E14" s="204">
        <f>C14*D14*B6/453.6</f>
        <v>24.71891534391534</v>
      </c>
      <c r="F14" s="147">
        <f>C14*C5/453.6</f>
        <v>0.615079365079365</v>
      </c>
      <c r="G14" s="204">
        <f>C14*D14*(D6+H6)/453.6</f>
        <v>0.7605820105820106</v>
      </c>
      <c r="H14" s="28">
        <f>C14*(E5+F5)/453.6</f>
        <v>0.07142857142857144</v>
      </c>
      <c r="I14" s="147">
        <f>B14*8*G5/453.6</f>
        <v>0.02821869488536155</v>
      </c>
      <c r="J14" s="200">
        <f>I5*C14*D14/453.6</f>
        <v>0.689594356261023</v>
      </c>
      <c r="K14" s="147">
        <f>J5*C14/453.6</f>
        <v>0.04717813051146385</v>
      </c>
      <c r="L14" s="212">
        <f>K5*C14*D14/453.6</f>
        <v>0.035493827160493825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150</v>
      </c>
      <c r="C19" s="425">
        <f>C11+C13</f>
        <v>300</v>
      </c>
      <c r="D19" s="426"/>
      <c r="E19" s="398">
        <f>E11+F11+E13+F13</f>
        <v>76.15410052910052</v>
      </c>
      <c r="F19" s="399"/>
      <c r="G19" s="398">
        <f>G11+H11+I11+G13+H13+I13</f>
        <v>8.548280423280422</v>
      </c>
      <c r="H19" s="427"/>
      <c r="I19" s="428"/>
      <c r="J19" s="398">
        <f>J11+K11+J13+K13</f>
        <v>7.169312169312169</v>
      </c>
      <c r="K19" s="399"/>
      <c r="L19" s="402">
        <f>L11+L13</f>
        <v>0.3802910052910053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10</v>
      </c>
      <c r="C21" s="408">
        <f>C14</f>
        <v>20</v>
      </c>
      <c r="D21" s="410"/>
      <c r="E21" s="400">
        <f>E14+F14</f>
        <v>25.333994708994705</v>
      </c>
      <c r="F21" s="401"/>
      <c r="G21" s="412">
        <f>G14+H14+I14</f>
        <v>0.8602292768959435</v>
      </c>
      <c r="H21" s="413"/>
      <c r="I21" s="414"/>
      <c r="J21" s="412">
        <f>J14+K14</f>
        <v>0.7367724867724867</v>
      </c>
      <c r="K21" s="418"/>
      <c r="L21" s="420">
        <f>L14</f>
        <v>0.035493827160493825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112.6653439153439</v>
      </c>
      <c r="F24" s="393"/>
      <c r="G24" s="392">
        <f>SUM(G19:I23)</f>
        <v>9.769885361552026</v>
      </c>
      <c r="H24" s="394"/>
      <c r="I24" s="393"/>
      <c r="J24" s="392">
        <f>SUM(J19:K23)</f>
        <v>12.283179012345677</v>
      </c>
      <c r="K24" s="393"/>
      <c r="L24" s="74">
        <f>SUM(L19:L23)</f>
        <v>0.5556437389770723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</sheetData>
  <sheetProtection/>
  <mergeCells count="50">
    <mergeCell ref="E24:F24"/>
    <mergeCell ref="G24:I24"/>
    <mergeCell ref="J24:K24"/>
    <mergeCell ref="E23:F23"/>
    <mergeCell ref="G23:I23"/>
    <mergeCell ref="J23:K23"/>
    <mergeCell ref="G21:I22"/>
    <mergeCell ref="J21:K22"/>
    <mergeCell ref="E21:F22"/>
    <mergeCell ref="L21:L22"/>
    <mergeCell ref="A21:A22"/>
    <mergeCell ref="B21:B22"/>
    <mergeCell ref="C21:C22"/>
    <mergeCell ref="D21:D22"/>
    <mergeCell ref="E19:F20"/>
    <mergeCell ref="G19:I20"/>
    <mergeCell ref="J19:K20"/>
    <mergeCell ref="L19:L20"/>
    <mergeCell ref="A19:A20"/>
    <mergeCell ref="B19:B20"/>
    <mergeCell ref="C19:C20"/>
    <mergeCell ref="D19:D20"/>
    <mergeCell ref="E8:L8"/>
    <mergeCell ref="A11:A12"/>
    <mergeCell ref="B11:B12"/>
    <mergeCell ref="C11:C12"/>
    <mergeCell ref="D11:D12"/>
    <mergeCell ref="G11:G12"/>
    <mergeCell ref="C9:C10"/>
    <mergeCell ref="D9:D10"/>
    <mergeCell ref="L11:L12"/>
    <mergeCell ref="E18:F18"/>
    <mergeCell ref="G18:I18"/>
    <mergeCell ref="J18:K18"/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H11:H12"/>
    <mergeCell ref="I11:I12"/>
    <mergeCell ref="J11:J12"/>
    <mergeCell ref="K11:K12"/>
    <mergeCell ref="B8:D8"/>
    <mergeCell ref="B9:B10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A-10
Construction Vehicle Emissions for the Storage Tank and Related Facilities Modifications 
Month 4
</oddHeader>
    <oddFooter>&amp;L&amp;8N:\2105\&amp;F:&amp;A&amp;R&amp;8&amp;D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0">
      <selection activeCell="A30" sqref="A30:IV33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100</v>
      </c>
      <c r="C11" s="425">
        <f>B11*2</f>
        <v>200</v>
      </c>
      <c r="D11" s="426">
        <v>11.5</v>
      </c>
      <c r="E11" s="450">
        <f>C11*D11*B$4/453.6</f>
        <v>45.5842151675485</v>
      </c>
      <c r="F11" s="433">
        <f>C11*C$4/453.6</f>
        <v>5.185185185185185</v>
      </c>
      <c r="G11" s="450">
        <f>C11*D11*(D$4+H$4)/453.6</f>
        <v>4.715608465608465</v>
      </c>
      <c r="H11" s="431">
        <f>C11*(E$4+F$4)/453.6</f>
        <v>0.68342151675485</v>
      </c>
      <c r="I11" s="433">
        <f>B11*8*G$4/453.6</f>
        <v>0.2998236331569665</v>
      </c>
      <c r="J11" s="435">
        <f>C11*D11*I$4/453.6</f>
        <v>4.462081128747795</v>
      </c>
      <c r="K11" s="433">
        <f>C11*J$4/453.6</f>
        <v>0.31746031746031744</v>
      </c>
      <c r="L11" s="437">
        <f>C11*D11*K$4/453.6</f>
        <v>0.2535273368606702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6</v>
      </c>
      <c r="C14" s="24">
        <f>B14*2</f>
        <v>12</v>
      </c>
      <c r="D14" s="188">
        <v>11.5</v>
      </c>
      <c r="E14" s="204">
        <f>C14*D14*B6/453.6</f>
        <v>14.831349206349206</v>
      </c>
      <c r="F14" s="147">
        <f>C14*C5/453.6</f>
        <v>0.36904761904761896</v>
      </c>
      <c r="G14" s="204">
        <f>C14*D14*(D6+H6)/453.6</f>
        <v>0.45634920634920634</v>
      </c>
      <c r="H14" s="28">
        <f>C14*(E5+F5)/453.6</f>
        <v>0.04285714285714286</v>
      </c>
      <c r="I14" s="147">
        <f>B14*8*G5/453.6</f>
        <v>0.01693121693121693</v>
      </c>
      <c r="J14" s="200">
        <f>I5*C14*D14/453.6</f>
        <v>0.41375661375661377</v>
      </c>
      <c r="K14" s="147">
        <f>J5*C14/453.6</f>
        <v>0.028306878306878305</v>
      </c>
      <c r="L14" s="212">
        <f>K5*C14*D14/453.6</f>
        <v>0.021296296296296296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100</v>
      </c>
      <c r="C19" s="425">
        <f>C11+C13</f>
        <v>200</v>
      </c>
      <c r="D19" s="426"/>
      <c r="E19" s="398">
        <f>E11+F11+E13+F13</f>
        <v>50.76940035273368</v>
      </c>
      <c r="F19" s="399"/>
      <c r="G19" s="398">
        <f>G11+H11+I11+G13+H13+I13</f>
        <v>5.698853615520282</v>
      </c>
      <c r="H19" s="427"/>
      <c r="I19" s="428"/>
      <c r="J19" s="398">
        <f>J11+K11+J13+K13</f>
        <v>4.779541446208112</v>
      </c>
      <c r="K19" s="399"/>
      <c r="L19" s="402">
        <f>L11+L13</f>
        <v>0.2535273368606702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6</v>
      </c>
      <c r="C21" s="408">
        <f>C14</f>
        <v>12</v>
      </c>
      <c r="D21" s="410"/>
      <c r="E21" s="400">
        <f>E14+F14</f>
        <v>15.200396825396824</v>
      </c>
      <c r="F21" s="401"/>
      <c r="G21" s="412">
        <f>G14+H14+I14</f>
        <v>0.5161375661375661</v>
      </c>
      <c r="H21" s="413"/>
      <c r="I21" s="414"/>
      <c r="J21" s="412">
        <f>J14+K14</f>
        <v>0.44206349206349205</v>
      </c>
      <c r="K21" s="418"/>
      <c r="L21" s="420">
        <f>L14</f>
        <v>0.021296296296296296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77.14704585537919</v>
      </c>
      <c r="F24" s="393"/>
      <c r="G24" s="392">
        <f>SUM(G19:I23)</f>
        <v>6.576366843033509</v>
      </c>
      <c r="H24" s="394"/>
      <c r="I24" s="393"/>
      <c r="J24" s="392">
        <f>SUM(J19:K23)</f>
        <v>9.598699294532626</v>
      </c>
      <c r="K24" s="393"/>
      <c r="L24" s="74">
        <f>SUM(L19:L23)</f>
        <v>0.4146825396825397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</sheetData>
  <sheetProtection/>
  <mergeCells count="50"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A11:A12"/>
    <mergeCell ref="B11:B12"/>
    <mergeCell ref="C11:C12"/>
    <mergeCell ref="D11:D12"/>
    <mergeCell ref="G11:G12"/>
    <mergeCell ref="E18:F18"/>
    <mergeCell ref="G18:I18"/>
    <mergeCell ref="J18:K18"/>
    <mergeCell ref="B8:D8"/>
    <mergeCell ref="B9:B10"/>
    <mergeCell ref="C9:C10"/>
    <mergeCell ref="D9:D10"/>
    <mergeCell ref="E8:L8"/>
    <mergeCell ref="H11:H12"/>
    <mergeCell ref="I11:I12"/>
    <mergeCell ref="J11:J12"/>
    <mergeCell ref="K11:K12"/>
    <mergeCell ref="L11:L12"/>
    <mergeCell ref="J19:K20"/>
    <mergeCell ref="L19:L20"/>
    <mergeCell ref="A21:A22"/>
    <mergeCell ref="B21:B22"/>
    <mergeCell ref="C21:C22"/>
    <mergeCell ref="D21:D22"/>
    <mergeCell ref="G21:I22"/>
    <mergeCell ref="J21:K22"/>
    <mergeCell ref="E21:F22"/>
    <mergeCell ref="L21:L22"/>
    <mergeCell ref="A19:A20"/>
    <mergeCell ref="B19:B20"/>
    <mergeCell ref="C19:C20"/>
    <mergeCell ref="D19:D20"/>
    <mergeCell ref="E19:F20"/>
    <mergeCell ref="G19:I20"/>
    <mergeCell ref="E24:F24"/>
    <mergeCell ref="G24:I24"/>
    <mergeCell ref="J24:K24"/>
    <mergeCell ref="E23:F23"/>
    <mergeCell ref="G23:I23"/>
    <mergeCell ref="J23:K23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A-11
Construction Vehicle Emissions for the Storage Tank and Related Facilities Modifications 
Month 7
</oddHeader>
    <oddFooter>&amp;L&amp;8N:\2105\&amp;F:&amp;A&amp;R&amp;8&amp;D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7">
      <selection activeCell="A31" sqref="A31:IV33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50</v>
      </c>
      <c r="C11" s="425">
        <f>B11*2</f>
        <v>100</v>
      </c>
      <c r="D11" s="426">
        <v>11.5</v>
      </c>
      <c r="E11" s="450">
        <f>C11*D11*B$4/453.6</f>
        <v>22.79210758377425</v>
      </c>
      <c r="F11" s="433">
        <f>C11*C$4/453.6</f>
        <v>2.5925925925925926</v>
      </c>
      <c r="G11" s="450">
        <f>C11*D11*(D$4+H$4)/453.6</f>
        <v>2.3578042328042326</v>
      </c>
      <c r="H11" s="431">
        <f>C11*(E$4+F$4)/453.6</f>
        <v>0.341710758377425</v>
      </c>
      <c r="I11" s="433">
        <f>B11*8*G$4/453.6</f>
        <v>0.14991181657848324</v>
      </c>
      <c r="J11" s="435">
        <f>C11*D11*I$4/453.6</f>
        <v>2.2310405643738975</v>
      </c>
      <c r="K11" s="433">
        <f>C11*J$4/453.6</f>
        <v>0.15873015873015872</v>
      </c>
      <c r="L11" s="437">
        <f>C11*D11*K$4/453.6</f>
        <v>0.1267636684303351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6</v>
      </c>
      <c r="C14" s="24">
        <f>B14*2</f>
        <v>12</v>
      </c>
      <c r="D14" s="188">
        <v>11.5</v>
      </c>
      <c r="E14" s="204">
        <f>C14*D14*B6/453.6</f>
        <v>14.831349206349206</v>
      </c>
      <c r="F14" s="147">
        <f>C14*C5/453.6</f>
        <v>0.36904761904761896</v>
      </c>
      <c r="G14" s="204">
        <f>C14*D14*(D6+H6)/453.6</f>
        <v>0.45634920634920634</v>
      </c>
      <c r="H14" s="28">
        <f>C14*(E5+F5)/453.6</f>
        <v>0.04285714285714286</v>
      </c>
      <c r="I14" s="147">
        <f>B14*8*G5/453.6</f>
        <v>0.01693121693121693</v>
      </c>
      <c r="J14" s="200">
        <f>I5*C14*D14/453.6</f>
        <v>0.41375661375661377</v>
      </c>
      <c r="K14" s="147">
        <f>J5*C14/453.6</f>
        <v>0.028306878306878305</v>
      </c>
      <c r="L14" s="212">
        <f>K5*C14*D14/453.6</f>
        <v>0.021296296296296296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50</v>
      </c>
      <c r="C19" s="425">
        <f>C11+C13</f>
        <v>100</v>
      </c>
      <c r="D19" s="426"/>
      <c r="E19" s="398">
        <f>E11+F11+E13+F13</f>
        <v>25.38470017636684</v>
      </c>
      <c r="F19" s="399"/>
      <c r="G19" s="398">
        <f>G11+H11+I11+G13+H13+I13</f>
        <v>2.849426807760141</v>
      </c>
      <c r="H19" s="427"/>
      <c r="I19" s="428"/>
      <c r="J19" s="398">
        <f>J11+K11+J13+K13</f>
        <v>2.389770723104056</v>
      </c>
      <c r="K19" s="399"/>
      <c r="L19" s="402">
        <f>L11+L13</f>
        <v>0.1267636684303351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6</v>
      </c>
      <c r="C21" s="408">
        <f>C14</f>
        <v>12</v>
      </c>
      <c r="D21" s="410"/>
      <c r="E21" s="400">
        <f>E14+F14</f>
        <v>15.200396825396824</v>
      </c>
      <c r="F21" s="401"/>
      <c r="G21" s="412">
        <f>G14+H14+I14</f>
        <v>0.5161375661375661</v>
      </c>
      <c r="H21" s="413"/>
      <c r="I21" s="414"/>
      <c r="J21" s="412">
        <f>J14+K14</f>
        <v>0.44206349206349205</v>
      </c>
      <c r="K21" s="418"/>
      <c r="L21" s="420">
        <f>L14</f>
        <v>0.021296296296296296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51.76234567901234</v>
      </c>
      <c r="F24" s="393"/>
      <c r="G24" s="392">
        <f>SUM(G19:I23)</f>
        <v>3.7269400352733686</v>
      </c>
      <c r="H24" s="394"/>
      <c r="I24" s="393"/>
      <c r="J24" s="392">
        <f>SUM(J19:K23)</f>
        <v>7.2089285714285705</v>
      </c>
      <c r="K24" s="393"/>
      <c r="L24" s="74">
        <f>SUM(L19:L23)</f>
        <v>0.2879188712522046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  <row r="31" ht="12.75">
      <c r="L31" s="64"/>
    </row>
  </sheetData>
  <sheetProtection/>
  <mergeCells count="50">
    <mergeCell ref="E24:F24"/>
    <mergeCell ref="G24:I24"/>
    <mergeCell ref="J24:K24"/>
    <mergeCell ref="E23:F23"/>
    <mergeCell ref="G23:I23"/>
    <mergeCell ref="J23:K23"/>
    <mergeCell ref="G21:I22"/>
    <mergeCell ref="J21:K22"/>
    <mergeCell ref="E21:F22"/>
    <mergeCell ref="L21:L22"/>
    <mergeCell ref="A21:A22"/>
    <mergeCell ref="B21:B22"/>
    <mergeCell ref="C21:C22"/>
    <mergeCell ref="D21:D22"/>
    <mergeCell ref="E19:F20"/>
    <mergeCell ref="G19:I20"/>
    <mergeCell ref="J19:K20"/>
    <mergeCell ref="L19:L20"/>
    <mergeCell ref="A19:A20"/>
    <mergeCell ref="B19:B20"/>
    <mergeCell ref="C19:C20"/>
    <mergeCell ref="D19:D20"/>
    <mergeCell ref="E8:L8"/>
    <mergeCell ref="A11:A12"/>
    <mergeCell ref="B11:B12"/>
    <mergeCell ref="C11:C12"/>
    <mergeCell ref="D11:D12"/>
    <mergeCell ref="G11:G12"/>
    <mergeCell ref="C9:C10"/>
    <mergeCell ref="D9:D10"/>
    <mergeCell ref="L11:L12"/>
    <mergeCell ref="E18:F18"/>
    <mergeCell ref="G18:I18"/>
    <mergeCell ref="J18:K18"/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H11:H12"/>
    <mergeCell ref="I11:I12"/>
    <mergeCell ref="J11:J12"/>
    <mergeCell ref="K11:K12"/>
    <mergeCell ref="B8:D8"/>
    <mergeCell ref="B9:B10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A-12
Construction Vehicle Emissions for the Storage Tank and Related Facility Modifications
Month 8
</oddHeader>
    <oddFooter>&amp;L&amp;8N:\2105\&amp;F:&amp;A&amp;R&amp;8&amp;D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zoomScalePageLayoutView="0" workbookViewId="0" topLeftCell="A38">
      <selection activeCell="L5" sqref="L5"/>
    </sheetView>
  </sheetViews>
  <sheetFormatPr defaultColWidth="9.140625" defaultRowHeight="12.75"/>
  <cols>
    <col min="1" max="1" width="9.8515625" style="21" customWidth="1"/>
    <col min="2" max="2" width="9.00390625" style="0" customWidth="1"/>
    <col min="3" max="3" width="10.140625" style="0" customWidth="1"/>
    <col min="4" max="4" width="10.00390625" style="0" customWidth="1"/>
    <col min="5" max="5" width="9.8515625" style="0" customWidth="1"/>
    <col min="6" max="6" width="8.421875" style="0" customWidth="1"/>
    <col min="7" max="7" width="10.8515625" style="0" customWidth="1"/>
    <col min="8" max="8" width="8.8515625" style="0" customWidth="1"/>
    <col min="9" max="9" width="9.57421875" style="0" customWidth="1"/>
    <col min="10" max="11" width="8.421875" style="0" customWidth="1"/>
    <col min="12" max="12" width="10.5742187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8.00390625" style="0" customWidth="1"/>
    <col min="17" max="17" width="10.7109375" style="0" customWidth="1"/>
    <col min="18" max="18" width="8.8515625" style="0" customWidth="1"/>
    <col min="19" max="19" width="9.421875" style="0" customWidth="1"/>
    <col min="20" max="20" width="8.421875" style="0" customWidth="1"/>
  </cols>
  <sheetData>
    <row r="2" ht="12.75">
      <c r="A2" s="21" t="s">
        <v>162</v>
      </c>
    </row>
    <row r="3" ht="12.75">
      <c r="A3" s="21" t="s">
        <v>160</v>
      </c>
    </row>
    <row r="4" spans="1:20" ht="13.5" thickBot="1">
      <c r="A4" s="21" t="s">
        <v>161</v>
      </c>
      <c r="T4" s="64"/>
    </row>
    <row r="5" spans="1:5" ht="13.5" thickBot="1">
      <c r="A5" s="132"/>
      <c r="B5" s="133" t="s">
        <v>123</v>
      </c>
      <c r="C5" s="134" t="s">
        <v>124</v>
      </c>
      <c r="D5" s="134" t="s">
        <v>125</v>
      </c>
      <c r="E5" s="135" t="s">
        <v>126</v>
      </c>
    </row>
    <row r="6" spans="1:5" ht="12.75">
      <c r="A6" s="136" t="s">
        <v>127</v>
      </c>
      <c r="B6" s="115">
        <v>14616335</v>
      </c>
      <c r="C6" s="17">
        <v>2223108</v>
      </c>
      <c r="D6" s="17">
        <v>4003223</v>
      </c>
      <c r="E6" s="137">
        <v>160165</v>
      </c>
    </row>
    <row r="7" spans="1:5" ht="12.75">
      <c r="A7" s="138" t="s">
        <v>128</v>
      </c>
      <c r="B7" s="31">
        <v>473835</v>
      </c>
      <c r="C7" s="20">
        <v>67563</v>
      </c>
      <c r="D7" s="20">
        <v>140267</v>
      </c>
      <c r="E7" s="139">
        <v>20258</v>
      </c>
    </row>
    <row r="8" spans="1:5" ht="13.5" thickBot="1">
      <c r="A8" s="140" t="s">
        <v>129</v>
      </c>
      <c r="B8" s="117">
        <v>91171160</v>
      </c>
      <c r="C8" s="96">
        <v>13500887</v>
      </c>
      <c r="D8" s="96">
        <v>25489776</v>
      </c>
      <c r="E8" s="141">
        <v>2036153</v>
      </c>
    </row>
    <row r="9" ht="13.5" thickBot="1"/>
    <row r="10" spans="1:20" s="21" customFormat="1" ht="12.75">
      <c r="A10" s="142"/>
      <c r="B10" s="130" t="s">
        <v>123</v>
      </c>
      <c r="C10" s="130" t="s">
        <v>124</v>
      </c>
      <c r="D10" s="130" t="s">
        <v>125</v>
      </c>
      <c r="E10" s="130" t="s">
        <v>126</v>
      </c>
      <c r="F10" s="457" t="s">
        <v>130</v>
      </c>
      <c r="G10" s="457"/>
      <c r="H10" s="457"/>
      <c r="I10" s="457"/>
      <c r="J10" s="457"/>
      <c r="K10" s="457" t="s">
        <v>131</v>
      </c>
      <c r="L10" s="457"/>
      <c r="M10" s="457"/>
      <c r="N10" s="457"/>
      <c r="O10" s="457"/>
      <c r="P10" s="457" t="s">
        <v>132</v>
      </c>
      <c r="Q10" s="457"/>
      <c r="R10" s="457"/>
      <c r="S10" s="457"/>
      <c r="T10" s="459"/>
    </row>
    <row r="11" spans="1:20" s="21" customFormat="1" ht="55.5" customHeight="1">
      <c r="A11" s="143"/>
      <c r="B11" s="458" t="s">
        <v>133</v>
      </c>
      <c r="C11" s="458"/>
      <c r="D11" s="458"/>
      <c r="E11" s="458"/>
      <c r="F11" s="144" t="s">
        <v>134</v>
      </c>
      <c r="G11" s="144" t="s">
        <v>135</v>
      </c>
      <c r="H11" s="144" t="s">
        <v>136</v>
      </c>
      <c r="I11" s="144" t="s">
        <v>137</v>
      </c>
      <c r="J11" s="144" t="s">
        <v>138</v>
      </c>
      <c r="K11" s="144" t="s">
        <v>134</v>
      </c>
      <c r="L11" s="144" t="s">
        <v>135</v>
      </c>
      <c r="M11" s="144" t="s">
        <v>136</v>
      </c>
      <c r="N11" s="144" t="s">
        <v>137</v>
      </c>
      <c r="O11" s="144" t="s">
        <v>138</v>
      </c>
      <c r="P11" s="144" t="s">
        <v>134</v>
      </c>
      <c r="Q11" s="144" t="s">
        <v>135</v>
      </c>
      <c r="R11" s="144" t="s">
        <v>136</v>
      </c>
      <c r="S11" s="144" t="s">
        <v>137</v>
      </c>
      <c r="T11" s="145" t="s">
        <v>138</v>
      </c>
    </row>
    <row r="12" spans="1:20" ht="12.75">
      <c r="A12" s="463" t="s">
        <v>139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64"/>
    </row>
    <row r="13" spans="1:20" ht="12.75" customHeight="1">
      <c r="A13" s="146" t="s">
        <v>140</v>
      </c>
      <c r="B13" s="28">
        <v>283.28</v>
      </c>
      <c r="C13" s="28">
        <v>70.8</v>
      </c>
      <c r="D13" s="28">
        <v>59.22</v>
      </c>
      <c r="E13" s="28">
        <v>29.17</v>
      </c>
      <c r="F13" s="28">
        <f>$B13*2000*453.6/($B$7*1000)</f>
        <v>0.5423652030770205</v>
      </c>
      <c r="G13" s="28"/>
      <c r="H13" s="28"/>
      <c r="I13" s="28"/>
      <c r="J13" s="28"/>
      <c r="K13" s="28">
        <f>($C13+$D13)*2000*453.6/(($C$7+$D$7)*1000)</f>
        <v>0.5675510946446615</v>
      </c>
      <c r="L13" s="28"/>
      <c r="M13" s="28"/>
      <c r="N13" s="28"/>
      <c r="O13" s="28"/>
      <c r="P13" s="28">
        <f>$E13*2000*453.6/($E$7*1000)</f>
        <v>1.3062999308914998</v>
      </c>
      <c r="Q13" s="28"/>
      <c r="R13" s="28"/>
      <c r="S13" s="28"/>
      <c r="T13" s="147"/>
    </row>
    <row r="14" spans="1:20" ht="12.75" customHeight="1">
      <c r="A14" s="146" t="s">
        <v>141</v>
      </c>
      <c r="B14" s="28">
        <v>0</v>
      </c>
      <c r="C14" s="28">
        <v>0</v>
      </c>
      <c r="D14" s="28">
        <v>0</v>
      </c>
      <c r="E14" s="28">
        <v>1.98</v>
      </c>
      <c r="F14" s="28">
        <f>$B14*2000*453.6/($B$7*1000)</f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>
        <f>$E14*2000*453.6/($E$7*1000)</f>
        <v>0.08866897028334485</v>
      </c>
      <c r="Q14" s="28"/>
      <c r="R14" s="28"/>
      <c r="S14" s="28"/>
      <c r="T14" s="147"/>
    </row>
    <row r="15" spans="1:20" ht="12.75" customHeight="1">
      <c r="A15" s="146" t="s">
        <v>142</v>
      </c>
      <c r="B15" s="28">
        <v>118.99</v>
      </c>
      <c r="C15" s="28">
        <v>22.59</v>
      </c>
      <c r="D15" s="28">
        <v>31.1</v>
      </c>
      <c r="E15" s="28">
        <v>5.72</v>
      </c>
      <c r="F15" s="28"/>
      <c r="G15" s="28">
        <f>B15*2000*453.6/$B$8</f>
        <v>1.1840117861832624</v>
      </c>
      <c r="H15" s="28"/>
      <c r="I15" s="28"/>
      <c r="J15" s="28"/>
      <c r="K15" s="28"/>
      <c r="L15" s="28">
        <f>(C15+D15)*2000*453.6/($C$8+$D$8)</f>
        <v>1.2492110739435234</v>
      </c>
      <c r="M15" s="28"/>
      <c r="N15" s="28"/>
      <c r="O15" s="28"/>
      <c r="P15" s="28"/>
      <c r="Q15" s="28">
        <f>E15*2000*453.6/$E$8</f>
        <v>2.5485236129112105</v>
      </c>
      <c r="R15" s="28"/>
      <c r="S15" s="28"/>
      <c r="T15" s="147"/>
    </row>
    <row r="16" spans="1:20" s="21" customFormat="1" ht="12.75" customHeight="1">
      <c r="A16" s="146" t="s">
        <v>143</v>
      </c>
      <c r="B16" s="128">
        <v>402.27</v>
      </c>
      <c r="C16" s="128">
        <v>93.4</v>
      </c>
      <c r="D16" s="128">
        <v>90.32</v>
      </c>
      <c r="E16" s="128">
        <v>36.87</v>
      </c>
      <c r="F16" s="128">
        <f aca="true" t="shared" si="0" ref="F16:T16">SUM(F13:F15)</f>
        <v>0.5423652030770205</v>
      </c>
      <c r="G16" s="128">
        <f t="shared" si="0"/>
        <v>1.1840117861832624</v>
      </c>
      <c r="H16" s="128">
        <f t="shared" si="0"/>
        <v>0</v>
      </c>
      <c r="I16" s="128">
        <f t="shared" si="0"/>
        <v>0</v>
      </c>
      <c r="J16" s="128">
        <f t="shared" si="0"/>
        <v>0</v>
      </c>
      <c r="K16" s="128">
        <f t="shared" si="0"/>
        <v>0.5675510946446615</v>
      </c>
      <c r="L16" s="128">
        <f t="shared" si="0"/>
        <v>1.2492110739435234</v>
      </c>
      <c r="M16" s="128">
        <f t="shared" si="0"/>
        <v>0</v>
      </c>
      <c r="N16" s="128">
        <f t="shared" si="0"/>
        <v>0</v>
      </c>
      <c r="O16" s="128">
        <f t="shared" si="0"/>
        <v>0</v>
      </c>
      <c r="P16" s="128">
        <f t="shared" si="0"/>
        <v>1.3949689011748445</v>
      </c>
      <c r="Q16" s="128">
        <f t="shared" si="0"/>
        <v>2.5485236129112105</v>
      </c>
      <c r="R16" s="128">
        <f t="shared" si="0"/>
        <v>0</v>
      </c>
      <c r="S16" s="128">
        <f t="shared" si="0"/>
        <v>0</v>
      </c>
      <c r="T16" s="129">
        <f t="shared" si="0"/>
        <v>0</v>
      </c>
    </row>
    <row r="17" spans="1:20" ht="12.75">
      <c r="A17" s="13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147"/>
    </row>
    <row r="18" spans="1:20" ht="12.75">
      <c r="A18" s="146" t="s">
        <v>144</v>
      </c>
      <c r="B18" s="28">
        <v>53.53</v>
      </c>
      <c r="C18" s="28">
        <v>11.69</v>
      </c>
      <c r="D18" s="28">
        <v>9.69</v>
      </c>
      <c r="E18" s="28">
        <v>0.01</v>
      </c>
      <c r="F18" s="28"/>
      <c r="G18" s="28"/>
      <c r="H18" s="28"/>
      <c r="I18" s="28">
        <f>B18*2000*453.6/24/B6</f>
        <v>0.13843648219611826</v>
      </c>
      <c r="J18" s="28"/>
      <c r="K18" s="28"/>
      <c r="L18" s="28"/>
      <c r="M18" s="28"/>
      <c r="N18" s="28">
        <f>(C18+D18)*2000*453.6/24/(C6+D6)</f>
        <v>0.1297977894204468</v>
      </c>
      <c r="O18" s="28"/>
      <c r="P18" s="28"/>
      <c r="Q18" s="28"/>
      <c r="R18" s="28"/>
      <c r="S18" s="28">
        <f>E18*2000*453.6/24/E6</f>
        <v>0.0023600661817500704</v>
      </c>
      <c r="T18" s="147"/>
    </row>
    <row r="19" spans="1:20" ht="12.75">
      <c r="A19" s="146" t="s">
        <v>145</v>
      </c>
      <c r="B19" s="28">
        <v>36.89</v>
      </c>
      <c r="C19" s="28">
        <v>9.18</v>
      </c>
      <c r="D19" s="28">
        <v>6.51</v>
      </c>
      <c r="E19" s="28">
        <v>0.2</v>
      </c>
      <c r="F19" s="28"/>
      <c r="G19" s="28"/>
      <c r="H19" s="28">
        <f>B19/$B$8*2000*453.6</f>
        <v>0.3670745003134763</v>
      </c>
      <c r="I19" s="28"/>
      <c r="J19" s="28"/>
      <c r="K19" s="28"/>
      <c r="L19" s="28"/>
      <c r="M19" s="28">
        <f>(C19+D19)/($C$8+$D$8)*2000*453.6</f>
        <v>0.36506093779426113</v>
      </c>
      <c r="N19" s="28"/>
      <c r="O19" s="28"/>
      <c r="P19" s="28"/>
      <c r="Q19" s="28"/>
      <c r="R19" s="28">
        <f>E19/$E$8*2000*453.6</f>
        <v>0.08910921723465771</v>
      </c>
      <c r="S19" s="28"/>
      <c r="T19" s="147"/>
    </row>
    <row r="20" spans="1:20" ht="12.75">
      <c r="A20" s="146" t="s">
        <v>146</v>
      </c>
      <c r="B20" s="28">
        <v>203.58</v>
      </c>
      <c r="C20" s="28">
        <v>40.86</v>
      </c>
      <c r="D20" s="28">
        <v>36.04</v>
      </c>
      <c r="E20" s="28">
        <v>2.45</v>
      </c>
      <c r="F20" s="28"/>
      <c r="G20" s="28"/>
      <c r="H20" s="28"/>
      <c r="I20" s="28"/>
      <c r="J20" s="28">
        <f>B20/(B7*1000)*2000*453.6</f>
        <v>0.389772338472253</v>
      </c>
      <c r="K20" s="28"/>
      <c r="L20" s="28"/>
      <c r="M20" s="28"/>
      <c r="N20" s="28"/>
      <c r="O20" s="28">
        <f>(C20+D20)/(($C$7+$D$7)*1000)*2000*453.6</f>
        <v>0.3356766588076794</v>
      </c>
      <c r="P20" s="28"/>
      <c r="Q20" s="28"/>
      <c r="R20" s="28"/>
      <c r="S20" s="28"/>
      <c r="T20" s="147">
        <f>E20/(E7*1000)*2000*453.6</f>
        <v>0.10971665514858328</v>
      </c>
    </row>
    <row r="21" spans="1:20" ht="12.75">
      <c r="A21" s="146" t="s">
        <v>147</v>
      </c>
      <c r="B21" s="28">
        <v>12.03</v>
      </c>
      <c r="C21" s="28">
        <v>2.85</v>
      </c>
      <c r="D21" s="28">
        <v>2.12</v>
      </c>
      <c r="E21" s="28">
        <v>0</v>
      </c>
      <c r="F21" s="28"/>
      <c r="G21" s="28"/>
      <c r="H21" s="28"/>
      <c r="I21" s="28">
        <f>B21*2000*453.6/24/B6</f>
        <v>0.031111355890515644</v>
      </c>
      <c r="J21" s="28"/>
      <c r="K21" s="28"/>
      <c r="L21" s="28"/>
      <c r="M21" s="28"/>
      <c r="N21" s="28">
        <f>(C21+D21)*2000*453.6/24/(C6+D6)</f>
        <v>0.030172825697830717</v>
      </c>
      <c r="O21" s="28"/>
      <c r="P21" s="28"/>
      <c r="Q21" s="28"/>
      <c r="R21" s="28"/>
      <c r="S21" s="28">
        <f>E21*2000*453.6/24/E6</f>
        <v>0</v>
      </c>
      <c r="T21" s="147"/>
    </row>
    <row r="22" spans="1:20" s="21" customFormat="1" ht="12.75">
      <c r="A22" s="146" t="s">
        <v>148</v>
      </c>
      <c r="B22" s="128">
        <v>708.3</v>
      </c>
      <c r="C22" s="128">
        <v>157.98</v>
      </c>
      <c r="D22" s="128">
        <v>144.67</v>
      </c>
      <c r="E22" s="128">
        <v>39.54</v>
      </c>
      <c r="F22" s="128">
        <f aca="true" t="shared" si="1" ref="F22:T22">SUM(F16:F21)</f>
        <v>0.5423652030770205</v>
      </c>
      <c r="G22" s="128">
        <f t="shared" si="1"/>
        <v>1.1840117861832624</v>
      </c>
      <c r="H22" s="128">
        <f t="shared" si="1"/>
        <v>0.3670745003134763</v>
      </c>
      <c r="I22" s="128">
        <f t="shared" si="1"/>
        <v>0.1695478380866339</v>
      </c>
      <c r="J22" s="128">
        <f t="shared" si="1"/>
        <v>0.389772338472253</v>
      </c>
      <c r="K22" s="128">
        <f t="shared" si="1"/>
        <v>0.5675510946446615</v>
      </c>
      <c r="L22" s="128">
        <f t="shared" si="1"/>
        <v>1.2492110739435234</v>
      </c>
      <c r="M22" s="128">
        <f t="shared" si="1"/>
        <v>0.36506093779426113</v>
      </c>
      <c r="N22" s="128">
        <f t="shared" si="1"/>
        <v>0.15997061511827754</v>
      </c>
      <c r="O22" s="128">
        <f t="shared" si="1"/>
        <v>0.3356766588076794</v>
      </c>
      <c r="P22" s="128">
        <f t="shared" si="1"/>
        <v>1.3949689011748445</v>
      </c>
      <c r="Q22" s="128">
        <f t="shared" si="1"/>
        <v>2.5485236129112105</v>
      </c>
      <c r="R22" s="128">
        <f t="shared" si="1"/>
        <v>0.08910921723465771</v>
      </c>
      <c r="S22" s="128">
        <f t="shared" si="1"/>
        <v>0.0023600661817500704</v>
      </c>
      <c r="T22" s="129">
        <f t="shared" si="1"/>
        <v>0.10971665514858328</v>
      </c>
    </row>
    <row r="23" spans="1:20" s="21" customFormat="1" ht="12.75">
      <c r="A23" s="460" t="s">
        <v>149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2"/>
    </row>
    <row r="24" spans="1:20" ht="12.75">
      <c r="A24" s="146" t="s">
        <v>140</v>
      </c>
      <c r="B24" s="28">
        <v>4696.28</v>
      </c>
      <c r="C24" s="28">
        <v>1344.96</v>
      </c>
      <c r="D24" s="28">
        <v>1240.3</v>
      </c>
      <c r="E24" s="28">
        <v>233.47</v>
      </c>
      <c r="F24" s="28">
        <f>$B24*2000*453.6/($B$7*1000)</f>
        <v>8.991453176738737</v>
      </c>
      <c r="G24" s="28"/>
      <c r="H24" s="28"/>
      <c r="I24" s="28"/>
      <c r="J24" s="28"/>
      <c r="K24" s="28">
        <f>($C24+$D24)*2000*453.6/(($C$7+$D$7)*1000)</f>
        <v>11.284934186594812</v>
      </c>
      <c r="L24" s="28"/>
      <c r="M24" s="28"/>
      <c r="N24" s="28"/>
      <c r="O24" s="28"/>
      <c r="P24" s="28">
        <f>$E24*2000*453.6/($E$7*1000)</f>
        <v>10.455325501036628</v>
      </c>
      <c r="Q24" s="28"/>
      <c r="R24" s="28"/>
      <c r="S24" s="28"/>
      <c r="T24" s="147"/>
    </row>
    <row r="25" spans="1:20" ht="12.75">
      <c r="A25" s="146" t="s">
        <v>141</v>
      </c>
      <c r="B25" s="28">
        <v>0</v>
      </c>
      <c r="C25" s="28">
        <v>0</v>
      </c>
      <c r="D25" s="28">
        <v>0</v>
      </c>
      <c r="E25" s="28">
        <v>8.81</v>
      </c>
      <c r="F25" s="28">
        <f>$B25*2000*453.6/($B$7*1000)</f>
        <v>0</v>
      </c>
      <c r="G25" s="28"/>
      <c r="H25" s="28"/>
      <c r="I25" s="28"/>
      <c r="J25" s="28"/>
      <c r="K25" s="28"/>
      <c r="L25" s="28"/>
      <c r="M25" s="28"/>
      <c r="N25" s="28"/>
      <c r="O25" s="28"/>
      <c r="P25" s="28">
        <f>$E25*2000*453.6/($E$7*1000)</f>
        <v>0.3945321354526607</v>
      </c>
      <c r="Q25" s="28"/>
      <c r="R25" s="28"/>
      <c r="S25" s="28"/>
      <c r="T25" s="147"/>
    </row>
    <row r="26" spans="1:20" ht="12.75">
      <c r="A26" s="146" t="s">
        <v>142</v>
      </c>
      <c r="B26" s="28">
        <v>1181.44</v>
      </c>
      <c r="C26" s="28">
        <v>274.28</v>
      </c>
      <c r="D26" s="28">
        <v>325.14</v>
      </c>
      <c r="E26" s="28">
        <v>109.41</v>
      </c>
      <c r="F26" s="28"/>
      <c r="G26" s="28">
        <f>B26*2000*453.6/$B$8</f>
        <v>11.755936504482339</v>
      </c>
      <c r="H26" s="28"/>
      <c r="I26" s="28"/>
      <c r="J26" s="28"/>
      <c r="K26" s="28"/>
      <c r="L26" s="28">
        <f>(C26+D26)*2000*453.6/($C$8+$D$8)</f>
        <v>13.94677038448923</v>
      </c>
      <c r="M26" s="28"/>
      <c r="N26" s="28"/>
      <c r="O26" s="28"/>
      <c r="P26" s="28"/>
      <c r="Q26" s="28">
        <f>E26*2000*453.6/$E$8</f>
        <v>48.7471972882195</v>
      </c>
      <c r="R26" s="28"/>
      <c r="S26" s="28"/>
      <c r="T26" s="147"/>
    </row>
    <row r="27" spans="1:20" s="21" customFormat="1" ht="12.75">
      <c r="A27" s="146" t="s">
        <v>143</v>
      </c>
      <c r="B27" s="128">
        <v>5877.72</v>
      </c>
      <c r="C27" s="128">
        <v>1619.25</v>
      </c>
      <c r="D27" s="128">
        <v>1565.44</v>
      </c>
      <c r="E27" s="128">
        <v>351.69</v>
      </c>
      <c r="F27" s="128">
        <f aca="true" t="shared" si="2" ref="F27:T27">SUM(F24:F26)</f>
        <v>8.991453176738737</v>
      </c>
      <c r="G27" s="128">
        <f t="shared" si="2"/>
        <v>11.755936504482339</v>
      </c>
      <c r="H27" s="128">
        <f t="shared" si="2"/>
        <v>0</v>
      </c>
      <c r="I27" s="128">
        <f t="shared" si="2"/>
        <v>0</v>
      </c>
      <c r="J27" s="128">
        <f t="shared" si="2"/>
        <v>0</v>
      </c>
      <c r="K27" s="128">
        <f t="shared" si="2"/>
        <v>11.284934186594812</v>
      </c>
      <c r="L27" s="128">
        <f t="shared" si="2"/>
        <v>13.94677038448923</v>
      </c>
      <c r="M27" s="128">
        <f t="shared" si="2"/>
        <v>0</v>
      </c>
      <c r="N27" s="128">
        <f t="shared" si="2"/>
        <v>0</v>
      </c>
      <c r="O27" s="128">
        <f t="shared" si="2"/>
        <v>0</v>
      </c>
      <c r="P27" s="128">
        <f t="shared" si="2"/>
        <v>10.849857636489288</v>
      </c>
      <c r="Q27" s="128">
        <f t="shared" si="2"/>
        <v>48.7471972882195</v>
      </c>
      <c r="R27" s="128">
        <f t="shared" si="2"/>
        <v>0</v>
      </c>
      <c r="S27" s="128">
        <f t="shared" si="2"/>
        <v>0</v>
      </c>
      <c r="T27" s="129">
        <f t="shared" si="2"/>
        <v>0</v>
      </c>
    </row>
    <row r="28" spans="1:20" s="21" customFormat="1" ht="12.75">
      <c r="A28" s="460" t="s">
        <v>150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2"/>
    </row>
    <row r="29" spans="1:20" ht="12.75">
      <c r="A29" s="146" t="s">
        <v>140</v>
      </c>
      <c r="B29" s="28">
        <v>458.05</v>
      </c>
      <c r="C29" s="28">
        <v>120.99</v>
      </c>
      <c r="D29" s="28">
        <v>189.43</v>
      </c>
      <c r="E29" s="28">
        <v>411.6</v>
      </c>
      <c r="F29" s="28">
        <f>$B29*2000*453.6/($B$7*1000)</f>
        <v>0.8769781886099591</v>
      </c>
      <c r="G29" s="28"/>
      <c r="H29" s="28"/>
      <c r="I29" s="28"/>
      <c r="J29" s="28"/>
      <c r="K29" s="28">
        <f>($C29+$D29)*2000*453.6/(($C$7+$D$7)*1000)</f>
        <v>1.3550162344223644</v>
      </c>
      <c r="L29" s="28"/>
      <c r="M29" s="28"/>
      <c r="N29" s="28"/>
      <c r="O29" s="28"/>
      <c r="P29" s="28">
        <f>$E29*2000*453.6/($E$7*1000)</f>
        <v>18.43239806496199</v>
      </c>
      <c r="Q29" s="28"/>
      <c r="R29" s="28"/>
      <c r="S29" s="28"/>
      <c r="T29" s="147"/>
    </row>
    <row r="30" spans="1:20" ht="12.75">
      <c r="A30" s="146" t="s">
        <v>141</v>
      </c>
      <c r="B30" s="28">
        <v>0</v>
      </c>
      <c r="C30" s="28">
        <v>0</v>
      </c>
      <c r="D30" s="28">
        <v>0</v>
      </c>
      <c r="E30" s="28">
        <v>14.11</v>
      </c>
      <c r="F30" s="28">
        <f>$B30*2000*453.6/($B$7*1000)</f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>
        <f>$E30*2000*453.6/($E$7*1000)</f>
        <v>0.6318783690393919</v>
      </c>
      <c r="Q30" s="28"/>
      <c r="R30" s="28"/>
      <c r="S30" s="28"/>
      <c r="T30" s="147"/>
    </row>
    <row r="31" spans="1:20" ht="12.75">
      <c r="A31" s="146" t="s">
        <v>142</v>
      </c>
      <c r="B31" s="28">
        <v>72.13</v>
      </c>
      <c r="C31" s="28">
        <v>13.8</v>
      </c>
      <c r="D31" s="28">
        <v>32.12</v>
      </c>
      <c r="E31" s="28">
        <v>3.53</v>
      </c>
      <c r="F31" s="28"/>
      <c r="G31" s="28">
        <f>B31*2000*453.6/$B$8</f>
        <v>0.7177306507891311</v>
      </c>
      <c r="H31" s="28"/>
      <c r="I31" s="28"/>
      <c r="J31" s="28"/>
      <c r="K31" s="28"/>
      <c r="L31" s="28">
        <f>(C31+D31)*2000*453.6/($C$8+$D$8)</f>
        <v>1.0684256382098454</v>
      </c>
      <c r="M31" s="28"/>
      <c r="N31" s="28"/>
      <c r="O31" s="28"/>
      <c r="P31" s="28"/>
      <c r="Q31" s="28">
        <f>E31*2000*453.6/$E$8</f>
        <v>1.5727776841917085</v>
      </c>
      <c r="R31" s="28"/>
      <c r="S31" s="28"/>
      <c r="T31" s="147"/>
    </row>
    <row r="32" spans="1:20" s="21" customFormat="1" ht="12.75">
      <c r="A32" s="146" t="s">
        <v>143</v>
      </c>
      <c r="B32" s="128">
        <v>530.19</v>
      </c>
      <c r="C32" s="128">
        <v>134.79</v>
      </c>
      <c r="D32" s="128">
        <v>221.55</v>
      </c>
      <c r="E32" s="128">
        <v>429.23</v>
      </c>
      <c r="F32" s="128">
        <f aca="true" t="shared" si="3" ref="F32:T32">SUM(F29:F31)</f>
        <v>0.8769781886099591</v>
      </c>
      <c r="G32" s="128">
        <f t="shared" si="3"/>
        <v>0.7177306507891311</v>
      </c>
      <c r="H32" s="128">
        <f t="shared" si="3"/>
        <v>0</v>
      </c>
      <c r="I32" s="128">
        <f t="shared" si="3"/>
        <v>0</v>
      </c>
      <c r="J32" s="128">
        <f t="shared" si="3"/>
        <v>0</v>
      </c>
      <c r="K32" s="128">
        <f t="shared" si="3"/>
        <v>1.3550162344223644</v>
      </c>
      <c r="L32" s="128">
        <f t="shared" si="3"/>
        <v>1.0684256382098454</v>
      </c>
      <c r="M32" s="128">
        <f t="shared" si="3"/>
        <v>0</v>
      </c>
      <c r="N32" s="128">
        <f t="shared" si="3"/>
        <v>0</v>
      </c>
      <c r="O32" s="128">
        <f t="shared" si="3"/>
        <v>0</v>
      </c>
      <c r="P32" s="128">
        <f t="shared" si="3"/>
        <v>19.064276434001382</v>
      </c>
      <c r="Q32" s="128">
        <f t="shared" si="3"/>
        <v>1.5727776841917085</v>
      </c>
      <c r="R32" s="128">
        <f t="shared" si="3"/>
        <v>0</v>
      </c>
      <c r="S32" s="128">
        <f t="shared" si="3"/>
        <v>0</v>
      </c>
      <c r="T32" s="129">
        <f t="shared" si="3"/>
        <v>0</v>
      </c>
    </row>
    <row r="33" spans="1:20" s="21" customFormat="1" ht="12.75">
      <c r="A33" s="460" t="s">
        <v>151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2"/>
    </row>
    <row r="34" spans="1:20" ht="12.75">
      <c r="A34" s="146" t="s">
        <v>140</v>
      </c>
      <c r="B34" s="28">
        <v>239.17</v>
      </c>
      <c r="C34" s="28">
        <v>39.87</v>
      </c>
      <c r="D34" s="28">
        <v>82.02</v>
      </c>
      <c r="E34" s="28">
        <v>47.05</v>
      </c>
      <c r="F34" s="28">
        <f>$B34*2000*453.6/($B$7*1000)</f>
        <v>0.45791261515084364</v>
      </c>
      <c r="G34" s="28"/>
      <c r="H34" s="28"/>
      <c r="I34" s="28"/>
      <c r="J34" s="28"/>
      <c r="K34" s="28">
        <f>($C34+$D34)*2000*453.6/(($C$7+$D$7)*1000)</f>
        <v>0.5320627820815088</v>
      </c>
      <c r="L34" s="28"/>
      <c r="M34" s="28"/>
      <c r="N34" s="28"/>
      <c r="O34" s="28"/>
      <c r="P34" s="28">
        <f>$E34*2000*453.6/($E$7*1000)</f>
        <v>2.107007601935038</v>
      </c>
      <c r="Q34" s="28"/>
      <c r="R34" s="28"/>
      <c r="S34" s="28"/>
      <c r="T34" s="147"/>
    </row>
    <row r="35" spans="1:20" ht="12.75">
      <c r="A35" s="146" t="s">
        <v>141</v>
      </c>
      <c r="B35" s="28">
        <v>0</v>
      </c>
      <c r="C35" s="28">
        <v>0</v>
      </c>
      <c r="D35" s="28">
        <v>0</v>
      </c>
      <c r="E35" s="28">
        <v>0</v>
      </c>
      <c r="F35" s="28">
        <f>$B35*2000*453.6/($B$7*1000)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>
        <f>$E35*2000*453.6/($E$7*1000)</f>
        <v>0</v>
      </c>
      <c r="Q35" s="28"/>
      <c r="R35" s="28"/>
      <c r="S35" s="28"/>
      <c r="T35" s="147"/>
    </row>
    <row r="36" spans="1:20" ht="12.75">
      <c r="A36" s="146" t="s">
        <v>142</v>
      </c>
      <c r="B36" s="28">
        <v>8.15</v>
      </c>
      <c r="C36" s="28">
        <v>1.48</v>
      </c>
      <c r="D36" s="28">
        <v>2.56</v>
      </c>
      <c r="E36" s="28">
        <v>0.07</v>
      </c>
      <c r="F36" s="28"/>
      <c r="G36" s="28">
        <f>B36*2000*453.6/$B$8</f>
        <v>0.0810966976837851</v>
      </c>
      <c r="H36" s="28"/>
      <c r="I36" s="28"/>
      <c r="J36" s="28"/>
      <c r="K36" s="28"/>
      <c r="L36" s="28">
        <f>(C36+D36)*2000*453.6/($C$8+$D$8)</f>
        <v>0.09399911973797419</v>
      </c>
      <c r="M36" s="28"/>
      <c r="N36" s="28"/>
      <c r="O36" s="28"/>
      <c r="P36" s="28"/>
      <c r="Q36" s="28">
        <f>E36*2000*453.6/$E$8</f>
        <v>0.031188226032130197</v>
      </c>
      <c r="R36" s="28"/>
      <c r="S36" s="28"/>
      <c r="T36" s="147"/>
    </row>
    <row r="37" spans="1:20" s="21" customFormat="1" ht="12.75">
      <c r="A37" s="146" t="s">
        <v>143</v>
      </c>
      <c r="B37" s="128">
        <v>247.32</v>
      </c>
      <c r="C37" s="128">
        <v>41.36</v>
      </c>
      <c r="D37" s="128">
        <v>84.58</v>
      </c>
      <c r="E37" s="128">
        <v>47.12</v>
      </c>
      <c r="F37" s="128">
        <f aca="true" t="shared" si="4" ref="F37:T37">SUM(F34:F36)</f>
        <v>0.45791261515084364</v>
      </c>
      <c r="G37" s="128">
        <f t="shared" si="4"/>
        <v>0.0810966976837851</v>
      </c>
      <c r="H37" s="128">
        <f t="shared" si="4"/>
        <v>0</v>
      </c>
      <c r="I37" s="128">
        <f t="shared" si="4"/>
        <v>0</v>
      </c>
      <c r="J37" s="128">
        <f t="shared" si="4"/>
        <v>0</v>
      </c>
      <c r="K37" s="128">
        <f t="shared" si="4"/>
        <v>0.5320627820815088</v>
      </c>
      <c r="L37" s="128">
        <f t="shared" si="4"/>
        <v>0.09399911973797419</v>
      </c>
      <c r="M37" s="128">
        <f t="shared" si="4"/>
        <v>0</v>
      </c>
      <c r="N37" s="128">
        <f t="shared" si="4"/>
        <v>0</v>
      </c>
      <c r="O37" s="128">
        <f t="shared" si="4"/>
        <v>0</v>
      </c>
      <c r="P37" s="128">
        <f t="shared" si="4"/>
        <v>2.107007601935038</v>
      </c>
      <c r="Q37" s="128">
        <f t="shared" si="4"/>
        <v>0.031188226032130197</v>
      </c>
      <c r="R37" s="128">
        <f t="shared" si="4"/>
        <v>0</v>
      </c>
      <c r="S37" s="128">
        <f t="shared" si="4"/>
        <v>0</v>
      </c>
      <c r="T37" s="129">
        <f t="shared" si="4"/>
        <v>0</v>
      </c>
    </row>
    <row r="38" spans="1:20" s="21" customFormat="1" ht="12.75">
      <c r="A38" s="460" t="s">
        <v>152</v>
      </c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2"/>
    </row>
    <row r="39" spans="1:20" ht="12.75">
      <c r="A39" s="146" t="s">
        <v>140</v>
      </c>
      <c r="B39" s="28">
        <v>8.46</v>
      </c>
      <c r="C39" s="28">
        <v>1.56</v>
      </c>
      <c r="D39" s="28">
        <v>4.01</v>
      </c>
      <c r="E39" s="28">
        <v>12.47</v>
      </c>
      <c r="F39" s="28">
        <f>$B39*2000*453.6/($B$7*1000)</f>
        <v>0.016197435816265156</v>
      </c>
      <c r="G39" s="28"/>
      <c r="H39" s="28"/>
      <c r="I39" s="28"/>
      <c r="J39" s="28"/>
      <c r="K39" s="28">
        <f>($C39+$D39)*2000*453.6/(($C$7+$D$7)*1000)</f>
        <v>0.024313640956551027</v>
      </c>
      <c r="L39" s="28"/>
      <c r="M39" s="28"/>
      <c r="N39" s="28"/>
      <c r="O39" s="28"/>
      <c r="P39" s="28">
        <f>$E39*2000*453.6/($E$7*1000)</f>
        <v>0.5584353835521769</v>
      </c>
      <c r="Q39" s="28"/>
      <c r="R39" s="28"/>
      <c r="S39" s="28"/>
      <c r="T39" s="147"/>
    </row>
    <row r="40" spans="1:20" ht="12.75">
      <c r="A40" s="146" t="s">
        <v>141</v>
      </c>
      <c r="B40" s="28">
        <v>0</v>
      </c>
      <c r="C40" s="28">
        <v>0</v>
      </c>
      <c r="D40" s="28">
        <v>0</v>
      </c>
      <c r="E40" s="28">
        <v>0.08</v>
      </c>
      <c r="F40" s="28">
        <f>$B40*2000*453.6/($B$7*1000)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>
        <f>$E40*2000*453.6/($E$7*1000)</f>
        <v>0.003582584657912923</v>
      </c>
      <c r="Q40" s="28"/>
      <c r="R40" s="28"/>
      <c r="S40" s="28"/>
      <c r="T40" s="147"/>
    </row>
    <row r="41" spans="1:20" ht="12.75">
      <c r="A41" s="146" t="s">
        <v>142</v>
      </c>
      <c r="B41" s="28">
        <v>0.65</v>
      </c>
      <c r="C41" s="28">
        <v>0.14</v>
      </c>
      <c r="D41" s="28">
        <v>0.29</v>
      </c>
      <c r="E41" s="28">
        <v>0</v>
      </c>
      <c r="F41" s="28"/>
      <c r="G41" s="28">
        <f>B41*2000*453.6/$B$8</f>
        <v>0.006467834784596357</v>
      </c>
      <c r="H41" s="28"/>
      <c r="I41" s="28"/>
      <c r="J41" s="28"/>
      <c r="K41" s="28"/>
      <c r="L41" s="28">
        <f>(C41+D41)*2000*453.6/($C$8+$D$8)</f>
        <v>0.010004856803794282</v>
      </c>
      <c r="M41" s="28"/>
      <c r="N41" s="28"/>
      <c r="O41" s="28"/>
      <c r="P41" s="28"/>
      <c r="Q41" s="28">
        <f>E41*2000*453.6/$E$8</f>
        <v>0</v>
      </c>
      <c r="R41" s="28"/>
      <c r="S41" s="28"/>
      <c r="T41" s="147"/>
    </row>
    <row r="42" spans="1:20" s="21" customFormat="1" ht="12.75">
      <c r="A42" s="146" t="s">
        <v>143</v>
      </c>
      <c r="B42" s="128">
        <v>9.11</v>
      </c>
      <c r="C42" s="128">
        <v>1.7</v>
      </c>
      <c r="D42" s="128">
        <v>4.3</v>
      </c>
      <c r="E42" s="128">
        <v>12.56</v>
      </c>
      <c r="F42" s="128">
        <f aca="true" t="shared" si="5" ref="F42:T42">SUM(F39:F41)</f>
        <v>0.016197435816265156</v>
      </c>
      <c r="G42" s="128">
        <f t="shared" si="5"/>
        <v>0.006467834784596357</v>
      </c>
      <c r="H42" s="128">
        <f t="shared" si="5"/>
        <v>0</v>
      </c>
      <c r="I42" s="128">
        <f t="shared" si="5"/>
        <v>0</v>
      </c>
      <c r="J42" s="128">
        <f t="shared" si="5"/>
        <v>0</v>
      </c>
      <c r="K42" s="128">
        <f t="shared" si="5"/>
        <v>0.024313640956551027</v>
      </c>
      <c r="L42" s="128">
        <f t="shared" si="5"/>
        <v>0.010004856803794282</v>
      </c>
      <c r="M42" s="128">
        <f t="shared" si="5"/>
        <v>0</v>
      </c>
      <c r="N42" s="128">
        <f t="shared" si="5"/>
        <v>0</v>
      </c>
      <c r="O42" s="128">
        <f t="shared" si="5"/>
        <v>0</v>
      </c>
      <c r="P42" s="128">
        <f t="shared" si="5"/>
        <v>0.5620179682100899</v>
      </c>
      <c r="Q42" s="128">
        <f t="shared" si="5"/>
        <v>0</v>
      </c>
      <c r="R42" s="128">
        <f t="shared" si="5"/>
        <v>0</v>
      </c>
      <c r="S42" s="128">
        <f t="shared" si="5"/>
        <v>0</v>
      </c>
      <c r="T42" s="129">
        <f t="shared" si="5"/>
        <v>0</v>
      </c>
    </row>
    <row r="43" spans="1:20" ht="12.75">
      <c r="A43" s="13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147"/>
    </row>
    <row r="44" spans="1:20" ht="12.75">
      <c r="A44" s="146" t="s">
        <v>153</v>
      </c>
      <c r="B44" s="28">
        <v>4.13</v>
      </c>
      <c r="C44" s="28">
        <v>0.61</v>
      </c>
      <c r="D44" s="28">
        <v>2.59</v>
      </c>
      <c r="E44" s="28">
        <v>0.79</v>
      </c>
      <c r="F44" s="28">
        <f>B44/($B$7*1000)*2000*453.6</f>
        <v>0.007907258855930861</v>
      </c>
      <c r="G44" s="28"/>
      <c r="H44" s="28"/>
      <c r="I44" s="28"/>
      <c r="J44" s="28"/>
      <c r="K44" s="28">
        <f>(C44+D44)/(($C$7+$D$7)*1000)*2000*453.6</f>
        <v>0.013968339508251935</v>
      </c>
      <c r="L44" s="28"/>
      <c r="M44" s="28"/>
      <c r="N44" s="28"/>
      <c r="O44" s="28"/>
      <c r="P44" s="28">
        <f>E44/($E$7*1000)*2000*453.6</f>
        <v>0.03537802349689012</v>
      </c>
      <c r="Q44" s="28"/>
      <c r="R44" s="28"/>
      <c r="S44" s="28"/>
      <c r="T44" s="147"/>
    </row>
    <row r="45" spans="1:20" ht="12.75">
      <c r="A45" s="146" t="s">
        <v>154</v>
      </c>
      <c r="B45" s="28">
        <v>6.48</v>
      </c>
      <c r="C45" s="28">
        <v>0.96</v>
      </c>
      <c r="D45" s="28">
        <v>4.07</v>
      </c>
      <c r="E45" s="28">
        <v>0.28</v>
      </c>
      <c r="F45" s="28">
        <f>B45/($B$7*1000)*2000*453.6</f>
        <v>0.012406546582671183</v>
      </c>
      <c r="G45" s="28"/>
      <c r="H45" s="28"/>
      <c r="I45" s="28"/>
      <c r="J45" s="28"/>
      <c r="K45" s="28">
        <f>(C45+D45)/(($C$7+$D$7)*1000)*2000*453.6</f>
        <v>0.021956483664533517</v>
      </c>
      <c r="L45" s="28"/>
      <c r="M45" s="28"/>
      <c r="N45" s="28"/>
      <c r="O45" s="28"/>
      <c r="P45" s="28">
        <f>E45/($E$7*1000)*2000*453.6</f>
        <v>0.012539046302695233</v>
      </c>
      <c r="Q45" s="28"/>
      <c r="R45" s="28"/>
      <c r="S45" s="28"/>
      <c r="T45" s="147"/>
    </row>
    <row r="46" spans="1:20" s="21" customFormat="1" ht="12.75">
      <c r="A46" s="146" t="s">
        <v>148</v>
      </c>
      <c r="B46" s="128">
        <v>19.72</v>
      </c>
      <c r="C46" s="128">
        <v>3.28</v>
      </c>
      <c r="D46" s="128">
        <v>10.96</v>
      </c>
      <c r="E46" s="128">
        <v>13.62</v>
      </c>
      <c r="F46" s="128">
        <f>SUM(F42:F45)</f>
        <v>0.0365112412548672</v>
      </c>
      <c r="G46" s="128">
        <f>SUM(G42:G45)</f>
        <v>0.006467834784596357</v>
      </c>
      <c r="H46" s="128"/>
      <c r="I46" s="128"/>
      <c r="J46" s="128"/>
      <c r="K46" s="128">
        <f>SUM(K42:K45)</f>
        <v>0.06023846412933648</v>
      </c>
      <c r="L46" s="128">
        <f>SUM(L42:L45)</f>
        <v>0.010004856803794282</v>
      </c>
      <c r="M46" s="128"/>
      <c r="N46" s="128"/>
      <c r="O46" s="128"/>
      <c r="P46" s="128">
        <f>SUM(P42:P45)</f>
        <v>0.6099350380096752</v>
      </c>
      <c r="Q46" s="128"/>
      <c r="R46" s="128"/>
      <c r="S46" s="128"/>
      <c r="T46" s="129"/>
    </row>
    <row r="47" spans="1:20" ht="12.75">
      <c r="A47" s="13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47"/>
    </row>
    <row r="48" spans="1:20" ht="12.75">
      <c r="A48" s="146" t="s">
        <v>155</v>
      </c>
      <c r="B48" s="28">
        <v>0</v>
      </c>
      <c r="C48" s="28">
        <v>0</v>
      </c>
      <c r="D48" s="28">
        <v>0</v>
      </c>
      <c r="E48" s="28">
        <v>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147"/>
    </row>
    <row r="49" spans="1:20" ht="12.75">
      <c r="A49" s="146" t="s">
        <v>156</v>
      </c>
      <c r="B49" s="28">
        <v>3.57</v>
      </c>
      <c r="C49" s="28">
        <v>0.61</v>
      </c>
      <c r="D49" s="28">
        <v>1.19</v>
      </c>
      <c r="E49" s="28">
        <v>4.05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147"/>
    </row>
    <row r="50" spans="1:20" ht="12.75">
      <c r="A50" s="146"/>
      <c r="B50" s="454" t="s">
        <v>157</v>
      </c>
      <c r="C50" s="455"/>
      <c r="D50" s="455"/>
      <c r="E50" s="456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147"/>
    </row>
    <row r="51" spans="1:20" ht="12.75">
      <c r="A51" s="148" t="s">
        <v>158</v>
      </c>
      <c r="B51" s="24">
        <v>26276.36</v>
      </c>
      <c r="C51" s="24">
        <v>4501.51</v>
      </c>
      <c r="D51" s="24">
        <v>8926.14</v>
      </c>
      <c r="E51" s="24">
        <v>87.27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39"/>
    </row>
    <row r="52" spans="1:20" ht="13.5" thickBot="1">
      <c r="A52" s="149" t="s">
        <v>159</v>
      </c>
      <c r="B52" s="97">
        <v>111.13</v>
      </c>
      <c r="C52" s="97">
        <v>21.35</v>
      </c>
      <c r="D52" s="97">
        <v>14.43</v>
      </c>
      <c r="E52" s="97">
        <v>4199.87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141"/>
    </row>
  </sheetData>
  <sheetProtection/>
  <mergeCells count="10">
    <mergeCell ref="B50:E50"/>
    <mergeCell ref="F10:J10"/>
    <mergeCell ref="K10:O10"/>
    <mergeCell ref="B11:E11"/>
    <mergeCell ref="P10:T10"/>
    <mergeCell ref="A38:T38"/>
    <mergeCell ref="A33:T33"/>
    <mergeCell ref="A12:T12"/>
    <mergeCell ref="A23:T23"/>
    <mergeCell ref="A28:T28"/>
  </mergeCells>
  <printOptions horizontalCentered="1"/>
  <pageMargins left="0.5" right="0.5" top="1.3" bottom="0.5" header="0.75" footer="0.5"/>
  <pageSetup fitToWidth="2" fitToHeight="1" horizontalDpi="400" verticalDpi="400" orientation="landscape" scale="61" r:id="rId1"/>
  <headerFooter alignWithMargins="0">
    <oddHeader>&amp;C&amp;"Arial,Bold"&amp;18TABLE A-13
&amp;12
&amp;18Vehicle Emission Factors from EMFAC2000</oddHeader>
    <oddFooter>&amp;L&amp;8N:\2105:&amp;F:&amp;A
&amp;R&amp;D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7.25">
      <c r="A4" s="387" t="s">
        <v>188</v>
      </c>
      <c r="B4" s="465"/>
      <c r="C4" s="465"/>
      <c r="D4" s="465"/>
      <c r="E4" s="465"/>
      <c r="F4" s="465"/>
      <c r="G4" s="465"/>
      <c r="H4" s="465"/>
      <c r="I4" s="465"/>
      <c r="J4" s="465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50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0.9843999999999999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6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0.3588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58</v>
      </c>
      <c r="E19" s="2"/>
      <c r="F19" s="2"/>
      <c r="G19" s="2"/>
      <c r="H19" s="2"/>
      <c r="I19" s="2"/>
      <c r="J19" s="74">
        <f>SUM(J9:J18)</f>
        <v>5.0032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A-14</oddHeader>
    <oddFooter>&amp;L&amp;8N:\2105\:&amp;F:&amp;A&amp;R&amp;8&amp;D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387" t="s">
        <v>191</v>
      </c>
      <c r="B4" s="387"/>
      <c r="C4" s="387"/>
      <c r="D4" s="387"/>
      <c r="E4" s="387"/>
      <c r="F4" s="387"/>
      <c r="G4" s="387"/>
      <c r="H4" s="387"/>
      <c r="I4" s="387"/>
      <c r="J4" s="387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150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2.9532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10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0.598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162</v>
      </c>
      <c r="E19" s="2"/>
      <c r="F19" s="2"/>
      <c r="G19" s="2"/>
      <c r="H19" s="2"/>
      <c r="I19" s="2"/>
      <c r="J19" s="74">
        <f>SUM(J9:J18)</f>
        <v>7.2112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A-15</oddHeader>
    <oddFooter>&amp;L&amp;8N:\2105\:&amp;F:&amp;A&amp;R&amp;8&amp;D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387" t="s">
        <v>194</v>
      </c>
      <c r="B4" s="387"/>
      <c r="C4" s="387"/>
      <c r="D4" s="387"/>
      <c r="E4" s="387"/>
      <c r="F4" s="387"/>
      <c r="G4" s="387"/>
      <c r="H4" s="387"/>
      <c r="I4" s="387"/>
      <c r="J4" s="387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100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1.9687999999999999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6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0.3588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108</v>
      </c>
      <c r="E19" s="2"/>
      <c r="F19" s="2"/>
      <c r="G19" s="2"/>
      <c r="H19" s="2"/>
      <c r="I19" s="2"/>
      <c r="J19" s="74">
        <f>SUM(J9:J18)</f>
        <v>5.9876000000000005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A-16</oddHeader>
    <oddFooter>&amp;L&amp;8N:\2105\&amp;F:&amp;A&amp;R&amp;8&amp;D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s="224" customFormat="1" ht="15">
      <c r="A1" s="387" t="s">
        <v>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224" customFormat="1" ht="15">
      <c r="A2" s="387" t="s">
        <v>44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224" customFormat="1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387" t="s">
        <v>195</v>
      </c>
      <c r="B4" s="387"/>
      <c r="C4" s="387"/>
      <c r="D4" s="387"/>
      <c r="E4" s="387"/>
      <c r="F4" s="387"/>
      <c r="G4" s="387"/>
      <c r="H4" s="387"/>
      <c r="I4" s="387"/>
      <c r="J4" s="387"/>
    </row>
    <row r="5" ht="13.5" thickBot="1"/>
    <row r="6" spans="1:10" ht="46.5" customHeight="1" thickBot="1">
      <c r="A6" s="441" t="s">
        <v>45</v>
      </c>
      <c r="B6" s="394"/>
      <c r="C6" s="2"/>
      <c r="D6" s="5" t="s">
        <v>46</v>
      </c>
      <c r="E6" s="6"/>
      <c r="F6" s="6" t="s">
        <v>47</v>
      </c>
      <c r="G6" s="60" t="s">
        <v>48</v>
      </c>
      <c r="H6" s="60" t="s">
        <v>49</v>
      </c>
      <c r="I6" s="59" t="s">
        <v>50</v>
      </c>
      <c r="J6" s="40" t="s">
        <v>51</v>
      </c>
    </row>
    <row r="7" spans="1:10" ht="12.75">
      <c r="A7" s="47"/>
      <c r="B7" s="26"/>
      <c r="C7" s="26"/>
      <c r="D7" s="54"/>
      <c r="E7" s="26"/>
      <c r="F7" s="26"/>
      <c r="G7" s="26"/>
      <c r="H7" s="26"/>
      <c r="I7" s="26"/>
      <c r="J7" s="65"/>
    </row>
    <row r="8" spans="1:10" ht="12.75">
      <c r="A8" s="50" t="s">
        <v>52</v>
      </c>
      <c r="B8" s="26"/>
      <c r="C8" s="26"/>
      <c r="D8" s="54"/>
      <c r="E8" s="26"/>
      <c r="F8" s="26"/>
      <c r="G8" s="26"/>
      <c r="H8" s="26"/>
      <c r="I8" s="26"/>
      <c r="J8" s="66"/>
    </row>
    <row r="9" spans="1:10" ht="12.75">
      <c r="A9" s="50" t="s">
        <v>53</v>
      </c>
      <c r="B9" s="26"/>
      <c r="D9" s="67">
        <v>50</v>
      </c>
      <c r="E9" s="33"/>
      <c r="F9" s="33" t="s">
        <v>54</v>
      </c>
      <c r="G9" s="33">
        <v>2</v>
      </c>
      <c r="H9" s="33">
        <v>11.5</v>
      </c>
      <c r="I9" s="26">
        <v>0.000856</v>
      </c>
      <c r="J9" s="121">
        <f>D9*G9*H9*I9</f>
        <v>0.9843999999999999</v>
      </c>
    </row>
    <row r="10" spans="1:10" ht="12.75">
      <c r="A10" s="50" t="s">
        <v>13</v>
      </c>
      <c r="B10" s="26"/>
      <c r="C10" s="26"/>
      <c r="D10" s="54"/>
      <c r="E10" s="26"/>
      <c r="F10" s="26"/>
      <c r="G10" s="26"/>
      <c r="H10" s="26"/>
      <c r="I10" s="26"/>
      <c r="J10" s="153"/>
    </row>
    <row r="11" spans="1:10" ht="12.75">
      <c r="A11" s="50"/>
      <c r="B11" s="26"/>
      <c r="C11" s="26"/>
      <c r="D11" s="54"/>
      <c r="E11" s="26"/>
      <c r="F11" s="26"/>
      <c r="G11" s="26"/>
      <c r="H11" s="26"/>
      <c r="I11" s="26"/>
      <c r="J11" s="153"/>
    </row>
    <row r="12" spans="1:10" ht="12.75">
      <c r="A12" s="50" t="s">
        <v>175</v>
      </c>
      <c r="B12" s="26"/>
      <c r="C12" s="26"/>
      <c r="D12" s="67">
        <v>6</v>
      </c>
      <c r="E12" s="33"/>
      <c r="F12" s="33" t="s">
        <v>54</v>
      </c>
      <c r="G12" s="33">
        <v>2</v>
      </c>
      <c r="H12" s="33">
        <v>11.5</v>
      </c>
      <c r="I12" s="26">
        <v>0.0026</v>
      </c>
      <c r="J12" s="121">
        <f>D12*G12*H12*I12</f>
        <v>0.3588</v>
      </c>
    </row>
    <row r="13" spans="1:10" ht="12.75">
      <c r="A13" s="50" t="s">
        <v>13</v>
      </c>
      <c r="B13" s="26"/>
      <c r="C13" s="26"/>
      <c r="D13" s="54"/>
      <c r="E13" s="26"/>
      <c r="F13" s="26"/>
      <c r="G13" s="26"/>
      <c r="H13" s="26"/>
      <c r="I13" s="26"/>
      <c r="J13" s="153"/>
    </row>
    <row r="14" spans="1:10" ht="12.75">
      <c r="A14" s="50"/>
      <c r="B14" s="26"/>
      <c r="C14" s="26"/>
      <c r="D14" s="54"/>
      <c r="E14" s="26"/>
      <c r="F14" s="26"/>
      <c r="G14" s="26"/>
      <c r="H14" s="26"/>
      <c r="I14" s="26"/>
      <c r="J14" s="153"/>
    </row>
    <row r="15" spans="1:10" ht="12.75">
      <c r="A15" s="50" t="s">
        <v>55</v>
      </c>
      <c r="B15" s="26"/>
      <c r="C15" s="26"/>
      <c r="D15" s="67">
        <v>1</v>
      </c>
      <c r="E15" s="33"/>
      <c r="F15" s="33" t="s">
        <v>56</v>
      </c>
      <c r="G15" s="33">
        <v>2</v>
      </c>
      <c r="H15" s="33">
        <v>50</v>
      </c>
      <c r="I15" s="26">
        <v>0.0206</v>
      </c>
      <c r="J15" s="121">
        <f>D15*G15*H15*I15</f>
        <v>2.06</v>
      </c>
    </row>
    <row r="16" spans="1:10" ht="12.75">
      <c r="A16" s="50" t="s">
        <v>13</v>
      </c>
      <c r="B16" s="26"/>
      <c r="C16" s="26"/>
      <c r="D16" s="54"/>
      <c r="E16" s="26"/>
      <c r="F16" s="26"/>
      <c r="G16" s="26"/>
      <c r="H16" s="26"/>
      <c r="I16" s="26"/>
      <c r="J16" s="153"/>
    </row>
    <row r="17" spans="1:10" ht="12.75">
      <c r="A17" s="50"/>
      <c r="B17" s="26"/>
      <c r="C17" s="26"/>
      <c r="D17" s="67"/>
      <c r="E17" s="33"/>
      <c r="F17" s="33"/>
      <c r="G17" s="33"/>
      <c r="H17" s="33"/>
      <c r="I17" s="26"/>
      <c r="J17" s="121"/>
    </row>
    <row r="18" spans="1:10" ht="13.5" thickBot="1">
      <c r="A18" s="50" t="s">
        <v>57</v>
      </c>
      <c r="B18" s="26"/>
      <c r="C18" s="26"/>
      <c r="D18" s="67">
        <v>1</v>
      </c>
      <c r="E18" s="33"/>
      <c r="F18" s="33" t="s">
        <v>56</v>
      </c>
      <c r="G18" s="33">
        <v>1</v>
      </c>
      <c r="H18" s="33">
        <v>1</v>
      </c>
      <c r="I18" s="26">
        <v>1.6</v>
      </c>
      <c r="J18" s="121">
        <f>D18*G18*H18*I18</f>
        <v>1.6</v>
      </c>
    </row>
    <row r="19" spans="1:10" ht="18.75" customHeight="1" thickBot="1">
      <c r="A19" s="1" t="s">
        <v>12</v>
      </c>
      <c r="B19" s="2"/>
      <c r="C19" s="2"/>
      <c r="D19" s="5">
        <f>SUM(D9:D18)</f>
        <v>58</v>
      </c>
      <c r="E19" s="2"/>
      <c r="F19" s="2"/>
      <c r="G19" s="2"/>
      <c r="H19" s="2"/>
      <c r="I19" s="2"/>
      <c r="J19" s="74">
        <f>SUM(J9:J18)</f>
        <v>5.0032</v>
      </c>
    </row>
    <row r="21" ht="12.75">
      <c r="A21" s="14" t="s">
        <v>166</v>
      </c>
    </row>
    <row r="22" spans="1:2" ht="12.75">
      <c r="A22" s="14" t="s">
        <v>167</v>
      </c>
      <c r="B22" s="14"/>
    </row>
    <row r="23" spans="1:2" ht="12.75">
      <c r="A23" s="14" t="s">
        <v>168</v>
      </c>
      <c r="B23" s="14"/>
    </row>
    <row r="24" spans="1:2" ht="12.75">
      <c r="A24" s="14" t="s">
        <v>169</v>
      </c>
      <c r="B24" s="14"/>
    </row>
    <row r="25" spans="1:2" ht="12.75">
      <c r="A25" s="14" t="s">
        <v>170</v>
      </c>
      <c r="B25" s="14"/>
    </row>
    <row r="26" spans="1:2" ht="12.75">
      <c r="A26" s="14"/>
      <c r="B26" s="14"/>
    </row>
    <row r="27" spans="1:2" ht="12.75">
      <c r="A27" s="14" t="s">
        <v>174</v>
      </c>
      <c r="B27" s="14"/>
    </row>
    <row r="28" spans="1:2" ht="12.75">
      <c r="A28" s="14" t="s">
        <v>171</v>
      </c>
      <c r="B28" s="14"/>
    </row>
    <row r="29" ht="12.75">
      <c r="A29" s="14" t="s">
        <v>172</v>
      </c>
    </row>
    <row r="30" ht="12.75">
      <c r="A30" s="14" t="s">
        <v>173</v>
      </c>
    </row>
    <row r="33" spans="1:10" ht="12.75">
      <c r="A33" s="14"/>
      <c r="J33" s="64"/>
    </row>
  </sheetData>
  <sheetProtection/>
  <mergeCells count="4">
    <mergeCell ref="A6:B6"/>
    <mergeCell ref="A1:J1"/>
    <mergeCell ref="A2:J2"/>
    <mergeCell ref="A4:J4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A-17</oddHeader>
    <oddFooter>&amp;L&amp;8N:\2105\&amp;F:&amp;A&amp;R&amp;8&amp;D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247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5</v>
      </c>
      <c r="D7" s="46"/>
      <c r="E7" s="46">
        <v>8</v>
      </c>
      <c r="F7" s="46"/>
      <c r="G7" s="46">
        <v>8</v>
      </c>
      <c r="H7" s="46">
        <v>7.7</v>
      </c>
      <c r="I7" s="46">
        <v>0.5</v>
      </c>
      <c r="J7" s="220">
        <f>+C7*G7*H7*I7</f>
        <v>154</v>
      </c>
      <c r="K7" s="221">
        <f>+E7*G7*H7*I7</f>
        <v>246.4</v>
      </c>
      <c r="L7" s="222">
        <f>+C7*G7*H7</f>
        <v>308</v>
      </c>
      <c r="M7" s="223">
        <f>+E7*G7*H7</f>
        <v>492.8</v>
      </c>
      <c r="N7" s="9" t="s">
        <v>25</v>
      </c>
    </row>
    <row r="8" ht="13.5" thickBot="1"/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2500</v>
      </c>
      <c r="F11" s="2"/>
      <c r="G11" s="6">
        <v>5000</v>
      </c>
      <c r="H11" s="6">
        <v>0.0035</v>
      </c>
      <c r="I11" s="5">
        <v>0.5</v>
      </c>
      <c r="J11" s="6">
        <f>+E11*H11*I11</f>
        <v>4.375</v>
      </c>
      <c r="K11" s="225">
        <f>+G11*H11*0.34</f>
        <v>5.95</v>
      </c>
      <c r="L11" s="4">
        <f>+E11*H11</f>
        <v>8.75</v>
      </c>
      <c r="M11" s="178">
        <f>+G11*H11</f>
        <v>17.5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0.5</v>
      </c>
      <c r="H16" s="6">
        <v>1</v>
      </c>
      <c r="I16" s="61">
        <v>19.8</v>
      </c>
      <c r="J16" s="62">
        <f>+G16*I16</f>
        <v>9.9</v>
      </c>
      <c r="K16" s="227">
        <f>H16*I16</f>
        <v>19.8</v>
      </c>
      <c r="L16" s="62">
        <f>J16*E16/2000</f>
        <v>0.1485</v>
      </c>
      <c r="M16" s="227">
        <f>K16*E16/2000</f>
        <v>0.297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250</v>
      </c>
      <c r="F20" s="37"/>
      <c r="G20" s="71">
        <v>500</v>
      </c>
      <c r="H20" s="71">
        <v>0.02205</v>
      </c>
      <c r="I20" s="7">
        <v>0.5</v>
      </c>
      <c r="J20" s="71">
        <f>+E20*H20*I20</f>
        <v>2.75625</v>
      </c>
      <c r="K20" s="187">
        <f>+G20*H20*I20</f>
        <v>5.5125</v>
      </c>
      <c r="L20" s="156">
        <f>+E20*H20</f>
        <v>5.5125</v>
      </c>
      <c r="M20" s="228">
        <f>+G20*H20</f>
        <v>11.025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250</v>
      </c>
      <c r="F21" s="56"/>
      <c r="G21" s="123">
        <v>500</v>
      </c>
      <c r="H21" s="123">
        <v>0.009075</v>
      </c>
      <c r="I21" s="155">
        <v>0.5</v>
      </c>
      <c r="J21" s="123">
        <f>+E21*H21*I21</f>
        <v>1.134375</v>
      </c>
      <c r="K21" s="189">
        <f>+G21*H21*I21</f>
        <v>2.26875</v>
      </c>
      <c r="L21" s="150">
        <f>+E21*H21</f>
        <v>2.26875</v>
      </c>
      <c r="M21" s="229">
        <f>+G21*H21</f>
        <v>4.5375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172.165625</v>
      </c>
      <c r="I26" s="159">
        <f>+K7+K11+K16+J20+J21</f>
        <v>276.040625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334.43125</v>
      </c>
      <c r="I27" s="125">
        <f>+M7+M11+K16+M20+M21</f>
        <v>545.6625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113.706625</v>
      </c>
      <c r="I28" s="63">
        <f>+(M7+M11+K16+M20+M21)*0.34</f>
        <v>185.52525000000003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L2:M2"/>
    <mergeCell ref="N3:N6"/>
    <mergeCell ref="I3:I6"/>
    <mergeCell ref="H3:H6"/>
    <mergeCell ref="J18:K18"/>
    <mergeCell ref="L18:M18"/>
    <mergeCell ref="J9:K9"/>
    <mergeCell ref="L9:M9"/>
    <mergeCell ref="N18:N19"/>
    <mergeCell ref="N9:N10"/>
    <mergeCell ref="B28:G28"/>
    <mergeCell ref="M3:M6"/>
    <mergeCell ref="L3:L6"/>
    <mergeCell ref="J3:J6"/>
    <mergeCell ref="K3:K6"/>
    <mergeCell ref="A4:A6"/>
    <mergeCell ref="J2:K2"/>
    <mergeCell ref="G3:G6"/>
    <mergeCell ref="E3:E6"/>
    <mergeCell ref="C3:C6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A-18
Fugitive Constuction 
Emission Estimates
</oddHeader>
    <oddFooter>&amp;L&amp;8N:\2105\&amp;F:&amp;A
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B1">
      <selection activeCell="B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248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0</v>
      </c>
      <c r="D7" s="46"/>
      <c r="E7" s="46">
        <v>0</v>
      </c>
      <c r="F7" s="46"/>
      <c r="G7" s="46">
        <v>0</v>
      </c>
      <c r="H7" s="46">
        <v>7.7</v>
      </c>
      <c r="I7" s="46">
        <v>0.5</v>
      </c>
      <c r="J7" s="220">
        <f>+C7*G7*H7*I7</f>
        <v>0</v>
      </c>
      <c r="K7" s="221">
        <f>+E7*G7*H7*I7</f>
        <v>0</v>
      </c>
      <c r="L7" s="222">
        <f>+C7*G7*H7</f>
        <v>0</v>
      </c>
      <c r="M7" s="223">
        <f>+E7*G7*H7</f>
        <v>0</v>
      </c>
      <c r="N7" s="9" t="s">
        <v>25</v>
      </c>
    </row>
    <row r="8" ht="13.5" thickBot="1">
      <c r="G8" t="s">
        <v>253</v>
      </c>
    </row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0</v>
      </c>
      <c r="F11" s="2"/>
      <c r="G11" s="6">
        <v>0</v>
      </c>
      <c r="H11" s="6">
        <v>0.0035</v>
      </c>
      <c r="I11" s="5">
        <v>0.5</v>
      </c>
      <c r="J11" s="6">
        <f>+E11*H11*I11</f>
        <v>0</v>
      </c>
      <c r="K11" s="225">
        <f>+G11*H11*0.34</f>
        <v>0</v>
      </c>
      <c r="L11" s="4">
        <f>+E11*H11</f>
        <v>0</v>
      </c>
      <c r="M11" s="178">
        <f>+G11*H11</f>
        <v>0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</v>
      </c>
      <c r="H16" s="6">
        <v>0</v>
      </c>
      <c r="I16" s="61">
        <v>19.8</v>
      </c>
      <c r="J16" s="62">
        <f>+G16*I16</f>
        <v>0</v>
      </c>
      <c r="K16" s="227">
        <f>H16*I16</f>
        <v>0</v>
      </c>
      <c r="L16" s="62">
        <f>J16*E16/2000</f>
        <v>0</v>
      </c>
      <c r="M16" s="227">
        <f>K16*E16/2000</f>
        <v>0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0</v>
      </c>
      <c r="F20" s="37"/>
      <c r="G20" s="71">
        <v>0</v>
      </c>
      <c r="H20" s="71">
        <v>0.02205</v>
      </c>
      <c r="I20" s="7">
        <v>0.5</v>
      </c>
      <c r="J20" s="71">
        <f>+E20*H20*I20</f>
        <v>0</v>
      </c>
      <c r="K20" s="187">
        <f>+G20*H20*I20</f>
        <v>0</v>
      </c>
      <c r="L20" s="156">
        <f>+E20*H20</f>
        <v>0</v>
      </c>
      <c r="M20" s="228">
        <f>+G20*H20</f>
        <v>0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0</v>
      </c>
      <c r="F21" s="56"/>
      <c r="G21" s="123">
        <v>0</v>
      </c>
      <c r="H21" s="123">
        <v>0.009075</v>
      </c>
      <c r="I21" s="155">
        <v>0.5</v>
      </c>
      <c r="J21" s="123">
        <f>+E21*H21*I21</f>
        <v>0</v>
      </c>
      <c r="K21" s="189">
        <f>+G21*H21*I21</f>
        <v>0</v>
      </c>
      <c r="L21" s="150">
        <f>+E21*H21</f>
        <v>0</v>
      </c>
      <c r="M21" s="229">
        <f>+G21*H21</f>
        <v>0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0</v>
      </c>
      <c r="I26" s="159">
        <f>+K7+K11+K16+J20+J21</f>
        <v>0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0</v>
      </c>
      <c r="I27" s="125">
        <f>+M7+M11+K16+M20+M21</f>
        <v>0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0</v>
      </c>
      <c r="I28" s="63">
        <f>+(M7+M11+K16+M20+M21)*0.34</f>
        <v>0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A4:A6"/>
    <mergeCell ref="J2:K2"/>
    <mergeCell ref="G3:G6"/>
    <mergeCell ref="E3:E6"/>
    <mergeCell ref="C3:C6"/>
    <mergeCell ref="I3:I6"/>
    <mergeCell ref="H3:H6"/>
    <mergeCell ref="J18:K18"/>
    <mergeCell ref="L18:M18"/>
    <mergeCell ref="L2:M2"/>
    <mergeCell ref="M3:M6"/>
    <mergeCell ref="L3:L6"/>
    <mergeCell ref="J3:J6"/>
    <mergeCell ref="K3:K6"/>
    <mergeCell ref="N3:N6"/>
    <mergeCell ref="J9:K9"/>
    <mergeCell ref="L9:M9"/>
    <mergeCell ref="N18:N19"/>
    <mergeCell ref="N9:N10"/>
    <mergeCell ref="B28:G28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A-19
Fugitive Construction
Emission Estimates</oddHeader>
    <oddFooter>&amp;L&amp;8N:\2105\&amp;F:&amp;A&amp;R&amp;8&amp;D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50" zoomScalePageLayoutView="0" workbookViewId="0" topLeftCell="A6">
      <selection activeCell="A1" sqref="A1:B19"/>
    </sheetView>
  </sheetViews>
  <sheetFormatPr defaultColWidth="9.140625" defaultRowHeight="12.75"/>
  <cols>
    <col min="1" max="1" width="19.8515625" style="0" customWidth="1"/>
    <col min="2" max="2" width="7.00390625" style="0" customWidth="1"/>
  </cols>
  <sheetData>
    <row r="1" ht="18.75" customHeight="1"/>
    <row r="40" ht="24" customHeight="1"/>
  </sheetData>
  <sheetProtection/>
  <printOptions horizontalCentered="1"/>
  <pageMargins left="0.75" right="0.75" top="0.75" bottom="1" header="0.5" footer="0.5"/>
  <pageSetup horizontalDpi="600" verticalDpi="600" orientation="landscape" scale="85" r:id="rId2"/>
  <headerFooter alignWithMargins="0">
    <oddFooter>&amp;CB-1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249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2</v>
      </c>
      <c r="D7" s="46"/>
      <c r="E7" s="46">
        <v>3</v>
      </c>
      <c r="F7" s="46"/>
      <c r="G7" s="46">
        <v>8</v>
      </c>
      <c r="H7" s="46">
        <v>7.7</v>
      </c>
      <c r="I7" s="46">
        <v>0.5</v>
      </c>
      <c r="J7" s="220">
        <f>+C7*G7*H7*I7</f>
        <v>61.6</v>
      </c>
      <c r="K7" s="221">
        <f>+E7*G7*H7*I7</f>
        <v>92.4</v>
      </c>
      <c r="L7" s="222">
        <f>+C7*G7*H7</f>
        <v>123.2</v>
      </c>
      <c r="M7" s="223">
        <f>+E7*G7*H7</f>
        <v>184.8</v>
      </c>
      <c r="N7" s="9" t="s">
        <v>25</v>
      </c>
    </row>
    <row r="8" ht="13.5" thickBot="1"/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1000</v>
      </c>
      <c r="F11" s="2"/>
      <c r="G11" s="6">
        <v>2000</v>
      </c>
      <c r="H11" s="6">
        <v>0.0035</v>
      </c>
      <c r="I11" s="5">
        <v>0.5</v>
      </c>
      <c r="J11" s="6">
        <f>+E11*H11*I11</f>
        <v>1.75</v>
      </c>
      <c r="K11" s="225">
        <f>+G11*H11*0.34</f>
        <v>2.3800000000000003</v>
      </c>
      <c r="L11" s="4">
        <f>+E11*H11</f>
        <v>3.5</v>
      </c>
      <c r="M11" s="178">
        <f>+G11*H11</f>
        <v>7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0.25</v>
      </c>
      <c r="H16" s="6">
        <v>0.5</v>
      </c>
      <c r="I16" s="61">
        <v>19.8</v>
      </c>
      <c r="J16" s="62">
        <f>+G16*I16</f>
        <v>4.95</v>
      </c>
      <c r="K16" s="227">
        <f>H16*I16</f>
        <v>9.9</v>
      </c>
      <c r="L16" s="62">
        <f>J16*E16/2000</f>
        <v>0.07425</v>
      </c>
      <c r="M16" s="227">
        <f>K16*E16/2000</f>
        <v>0.1485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100</v>
      </c>
      <c r="F20" s="37"/>
      <c r="G20" s="71">
        <v>200</v>
      </c>
      <c r="H20" s="71">
        <v>0.02205</v>
      </c>
      <c r="I20" s="7">
        <v>0.5</v>
      </c>
      <c r="J20" s="71">
        <f>+E20*H20*I20</f>
        <v>1.1025</v>
      </c>
      <c r="K20" s="187">
        <f>+G20*H20*I20</f>
        <v>2.205</v>
      </c>
      <c r="L20" s="156">
        <f>+E20*H20</f>
        <v>2.205</v>
      </c>
      <c r="M20" s="228">
        <f>+G20*H20</f>
        <v>4.41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100</v>
      </c>
      <c r="F21" s="56"/>
      <c r="G21" s="123">
        <v>200</v>
      </c>
      <c r="H21" s="123">
        <v>0.009075</v>
      </c>
      <c r="I21" s="155">
        <v>0.5</v>
      </c>
      <c r="J21" s="123">
        <f>+E21*H21*I21</f>
        <v>0.45375</v>
      </c>
      <c r="K21" s="189">
        <f>+G21*H21*I21</f>
        <v>0.9075</v>
      </c>
      <c r="L21" s="150">
        <f>+E21*H21</f>
        <v>0.9075</v>
      </c>
      <c r="M21" s="229">
        <f>+G21*H21</f>
        <v>1.815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69.85625</v>
      </c>
      <c r="I26" s="159">
        <f>+K7+K11+K16+J20+J21</f>
        <v>106.23625000000001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134.76250000000002</v>
      </c>
      <c r="I27" s="125">
        <f>+M7+M11+K16+M20+M21</f>
        <v>207.925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45.81925000000001</v>
      </c>
      <c r="I28" s="63">
        <f>+(M7+M11+K16+M20+M21)*0.34</f>
        <v>70.6945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L2:M2"/>
    <mergeCell ref="N3:N6"/>
    <mergeCell ref="I3:I6"/>
    <mergeCell ref="H3:H6"/>
    <mergeCell ref="J18:K18"/>
    <mergeCell ref="L18:M18"/>
    <mergeCell ref="J9:K9"/>
    <mergeCell ref="L9:M9"/>
    <mergeCell ref="N18:N19"/>
    <mergeCell ref="N9:N10"/>
    <mergeCell ref="B28:G28"/>
    <mergeCell ref="M3:M6"/>
    <mergeCell ref="L3:L6"/>
    <mergeCell ref="J3:J6"/>
    <mergeCell ref="K3:K6"/>
    <mergeCell ref="A4:A6"/>
    <mergeCell ref="J2:K2"/>
    <mergeCell ref="G3:G6"/>
    <mergeCell ref="E3:E6"/>
    <mergeCell ref="C3:C6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A-20
Fugitive Construction
Emission Estimates</oddHeader>
    <oddFooter>&amp;L&amp;8N:\2105\&amp;F:&amp;A&amp;R&amp;8&amp;D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pans="1:13" ht="15.75" thickBot="1">
      <c r="A1" s="154" t="s">
        <v>250</v>
      </c>
      <c r="B1" s="35"/>
      <c r="F1" s="35"/>
      <c r="G1" s="35"/>
      <c r="L1" s="35"/>
      <c r="M1" s="35"/>
    </row>
    <row r="2" spans="1:14" ht="12.75" customHeight="1" thickBot="1">
      <c r="A2" s="47"/>
      <c r="B2" s="36"/>
      <c r="C2" s="37"/>
      <c r="D2" s="37"/>
      <c r="E2" s="218"/>
      <c r="F2" s="36"/>
      <c r="G2" s="36"/>
      <c r="H2" s="37"/>
      <c r="I2" s="48"/>
      <c r="J2" s="469" t="s">
        <v>19</v>
      </c>
      <c r="K2" s="470"/>
      <c r="L2" s="484" t="s">
        <v>20</v>
      </c>
      <c r="M2" s="485"/>
      <c r="N2" s="65"/>
    </row>
    <row r="3" spans="1:14" ht="12.75" customHeight="1">
      <c r="A3" s="30"/>
      <c r="B3" s="38"/>
      <c r="C3" s="473" t="s">
        <v>15</v>
      </c>
      <c r="D3" s="26"/>
      <c r="E3" s="473" t="s">
        <v>16</v>
      </c>
      <c r="F3" s="38"/>
      <c r="G3" s="471" t="s">
        <v>17</v>
      </c>
      <c r="H3" s="471" t="s">
        <v>222</v>
      </c>
      <c r="I3" s="488" t="s">
        <v>18</v>
      </c>
      <c r="J3" s="481" t="s">
        <v>223</v>
      </c>
      <c r="K3" s="478" t="s">
        <v>221</v>
      </c>
      <c r="L3" s="481" t="s">
        <v>22</v>
      </c>
      <c r="M3" s="478" t="s">
        <v>221</v>
      </c>
      <c r="N3" s="486" t="s">
        <v>21</v>
      </c>
    </row>
    <row r="4" spans="1:14" ht="12.75" customHeight="1">
      <c r="A4" s="466" t="s">
        <v>23</v>
      </c>
      <c r="B4" s="41"/>
      <c r="C4" s="474"/>
      <c r="D4" s="34"/>
      <c r="E4" s="471"/>
      <c r="F4" s="41"/>
      <c r="G4" s="471"/>
      <c r="H4" s="471"/>
      <c r="I4" s="488"/>
      <c r="J4" s="482"/>
      <c r="K4" s="479"/>
      <c r="L4" s="482"/>
      <c r="M4" s="479"/>
      <c r="N4" s="486"/>
    </row>
    <row r="5" spans="1:14" ht="13.5" customHeight="1">
      <c r="A5" s="467"/>
      <c r="B5" s="41"/>
      <c r="C5" s="474"/>
      <c r="D5" s="34"/>
      <c r="E5" s="471"/>
      <c r="F5" s="41"/>
      <c r="G5" s="471"/>
      <c r="H5" s="471"/>
      <c r="I5" s="488"/>
      <c r="J5" s="482"/>
      <c r="K5" s="479"/>
      <c r="L5" s="482"/>
      <c r="M5" s="479"/>
      <c r="N5" s="486"/>
    </row>
    <row r="6" spans="1:14" ht="13.5" customHeight="1" thickBot="1">
      <c r="A6" s="468"/>
      <c r="B6" s="42"/>
      <c r="C6" s="475"/>
      <c r="D6" s="43"/>
      <c r="E6" s="472"/>
      <c r="F6" s="42"/>
      <c r="G6" s="472"/>
      <c r="H6" s="472"/>
      <c r="I6" s="489"/>
      <c r="J6" s="483"/>
      <c r="K6" s="480"/>
      <c r="L6" s="483"/>
      <c r="M6" s="480"/>
      <c r="N6" s="487"/>
    </row>
    <row r="7" spans="1:14" ht="15.75" thickBot="1">
      <c r="A7" s="44" t="s">
        <v>164</v>
      </c>
      <c r="B7" s="45"/>
      <c r="C7" s="46">
        <v>2</v>
      </c>
      <c r="D7" s="46"/>
      <c r="E7" s="46">
        <v>3</v>
      </c>
      <c r="F7" s="46"/>
      <c r="G7" s="46">
        <v>8</v>
      </c>
      <c r="H7" s="46">
        <v>7.7</v>
      </c>
      <c r="I7" s="46">
        <v>0.5</v>
      </c>
      <c r="J7" s="220">
        <f>+C7*G7*H7*I7</f>
        <v>61.6</v>
      </c>
      <c r="K7" s="221">
        <f>+E7*G7*H7*I7</f>
        <v>92.4</v>
      </c>
      <c r="L7" s="222">
        <f>+C7*G7*H7</f>
        <v>123.2</v>
      </c>
      <c r="M7" s="223">
        <f>+E7*G7*H7</f>
        <v>184.8</v>
      </c>
      <c r="N7" s="9" t="s">
        <v>25</v>
      </c>
    </row>
    <row r="8" ht="13.5" thickBot="1"/>
    <row r="9" spans="1:14" ht="13.5" customHeight="1" thickBot="1">
      <c r="A9" s="47" t="s">
        <v>26</v>
      </c>
      <c r="B9" s="37"/>
      <c r="C9" s="37"/>
      <c r="D9" s="37"/>
      <c r="E9" s="37"/>
      <c r="F9" s="37"/>
      <c r="G9" s="37"/>
      <c r="H9" s="37"/>
      <c r="I9" s="48"/>
      <c r="J9" s="441" t="s">
        <v>19</v>
      </c>
      <c r="K9" s="393"/>
      <c r="L9" s="441" t="s">
        <v>20</v>
      </c>
      <c r="M9" s="393"/>
      <c r="N9" s="490" t="s">
        <v>21</v>
      </c>
    </row>
    <row r="10" spans="1:14" ht="66" thickBot="1">
      <c r="A10" s="50" t="s">
        <v>27</v>
      </c>
      <c r="B10" s="26"/>
      <c r="C10" s="51"/>
      <c r="D10" s="51"/>
      <c r="E10" s="39" t="s">
        <v>28</v>
      </c>
      <c r="F10" s="51"/>
      <c r="G10" s="39" t="s">
        <v>29</v>
      </c>
      <c r="H10" s="39" t="s">
        <v>230</v>
      </c>
      <c r="I10" s="52" t="s">
        <v>18</v>
      </c>
      <c r="J10" s="162" t="s">
        <v>225</v>
      </c>
      <c r="K10" s="217" t="s">
        <v>226</v>
      </c>
      <c r="L10" s="53" t="s">
        <v>225</v>
      </c>
      <c r="M10" s="217" t="s">
        <v>224</v>
      </c>
      <c r="N10" s="487"/>
    </row>
    <row r="11" spans="1:14" ht="15.75" thickBot="1">
      <c r="A11" s="1" t="s">
        <v>165</v>
      </c>
      <c r="B11" s="2"/>
      <c r="C11" s="6"/>
      <c r="D11" s="2"/>
      <c r="E11" s="6">
        <v>1000</v>
      </c>
      <c r="F11" s="2"/>
      <c r="G11" s="6">
        <v>2000</v>
      </c>
      <c r="H11" s="6">
        <v>0.0035</v>
      </c>
      <c r="I11" s="5">
        <v>0.5</v>
      </c>
      <c r="J11" s="6">
        <f>+E11*H11*I11</f>
        <v>1.75</v>
      </c>
      <c r="K11" s="225">
        <f>+G11*H11*0.34</f>
        <v>2.3800000000000003</v>
      </c>
      <c r="L11" s="4">
        <f>+E11*H11</f>
        <v>3.5</v>
      </c>
      <c r="M11" s="178">
        <f>+G11*H11</f>
        <v>7</v>
      </c>
      <c r="N11" s="9" t="s">
        <v>179</v>
      </c>
    </row>
    <row r="12" spans="1:14" ht="12.75">
      <c r="A12" s="50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4"/>
    </row>
    <row r="13" spans="1:14" ht="13.5" thickBot="1">
      <c r="A13" s="55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ht="13.5" thickBot="1"/>
    <row r="15" spans="1:14" ht="66" thickBot="1">
      <c r="A15" s="58" t="s">
        <v>33</v>
      </c>
      <c r="B15" s="49"/>
      <c r="C15" s="60"/>
      <c r="D15" s="59"/>
      <c r="E15" s="60" t="s">
        <v>34</v>
      </c>
      <c r="F15" s="59"/>
      <c r="G15" s="60" t="s">
        <v>35</v>
      </c>
      <c r="H15" s="60" t="s">
        <v>36</v>
      </c>
      <c r="I15" s="15" t="s">
        <v>231</v>
      </c>
      <c r="J15" s="16" t="s">
        <v>225</v>
      </c>
      <c r="K15" s="217" t="s">
        <v>227</v>
      </c>
      <c r="L15" s="16" t="s">
        <v>228</v>
      </c>
      <c r="M15" s="217" t="s">
        <v>229</v>
      </c>
      <c r="N15" s="22" t="s">
        <v>21</v>
      </c>
    </row>
    <row r="16" spans="1:14" ht="13.5" thickBot="1">
      <c r="A16" s="1" t="s">
        <v>24</v>
      </c>
      <c r="B16" s="2"/>
      <c r="C16" s="6"/>
      <c r="D16" s="2"/>
      <c r="E16" s="6">
        <v>30</v>
      </c>
      <c r="F16" s="2"/>
      <c r="G16" s="6">
        <v>0.25</v>
      </c>
      <c r="H16" s="6">
        <v>0.5</v>
      </c>
      <c r="I16" s="61">
        <v>19.8</v>
      </c>
      <c r="J16" s="62">
        <f>+G16*I16</f>
        <v>4.95</v>
      </c>
      <c r="K16" s="227">
        <f>H16*I16</f>
        <v>9.9</v>
      </c>
      <c r="L16" s="62">
        <f>J16*E16/2000</f>
        <v>0.07425</v>
      </c>
      <c r="M16" s="227">
        <f>K16*E16/2000</f>
        <v>0.1485</v>
      </c>
      <c r="N16" s="3" t="s">
        <v>37</v>
      </c>
    </row>
    <row r="17" ht="13.5" thickBot="1"/>
    <row r="18" spans="1:14" ht="13.5" thickBot="1">
      <c r="A18" s="47" t="s">
        <v>176</v>
      </c>
      <c r="B18" s="37"/>
      <c r="C18" s="37"/>
      <c r="D18" s="37"/>
      <c r="E18" s="37"/>
      <c r="F18" s="37"/>
      <c r="G18" s="37"/>
      <c r="H18" s="37"/>
      <c r="I18" s="48"/>
      <c r="J18" s="441" t="s">
        <v>19</v>
      </c>
      <c r="K18" s="393"/>
      <c r="L18" s="441" t="s">
        <v>20</v>
      </c>
      <c r="M18" s="393"/>
      <c r="N18" s="490" t="s">
        <v>21</v>
      </c>
    </row>
    <row r="19" spans="1:14" ht="66" thickBot="1">
      <c r="A19" s="50" t="s">
        <v>13</v>
      </c>
      <c r="B19" s="26"/>
      <c r="C19" s="51"/>
      <c r="D19" s="51"/>
      <c r="E19" s="39" t="s">
        <v>177</v>
      </c>
      <c r="F19" s="51"/>
      <c r="G19" s="39" t="s">
        <v>29</v>
      </c>
      <c r="H19" s="39" t="s">
        <v>230</v>
      </c>
      <c r="I19" s="52" t="s">
        <v>18</v>
      </c>
      <c r="J19" s="162" t="s">
        <v>225</v>
      </c>
      <c r="K19" s="219" t="s">
        <v>226</v>
      </c>
      <c r="L19" s="53" t="s">
        <v>225</v>
      </c>
      <c r="M19" s="219" t="s">
        <v>226</v>
      </c>
      <c r="N19" s="486"/>
    </row>
    <row r="20" spans="1:14" ht="15">
      <c r="A20" s="47" t="s">
        <v>180</v>
      </c>
      <c r="B20" s="37"/>
      <c r="C20" s="151"/>
      <c r="D20" s="151"/>
      <c r="E20" s="71">
        <v>100</v>
      </c>
      <c r="F20" s="37"/>
      <c r="G20" s="71">
        <v>200</v>
      </c>
      <c r="H20" s="71">
        <v>0.02205</v>
      </c>
      <c r="I20" s="7">
        <v>0.5</v>
      </c>
      <c r="J20" s="71">
        <f>+E20*H20*I20</f>
        <v>1.1025</v>
      </c>
      <c r="K20" s="187">
        <f>+G20*H20*I20</f>
        <v>2.205</v>
      </c>
      <c r="L20" s="156">
        <f>+E20*H20</f>
        <v>2.205</v>
      </c>
      <c r="M20" s="228">
        <f>+G20*H20</f>
        <v>4.41</v>
      </c>
      <c r="N20" s="65" t="s">
        <v>30</v>
      </c>
    </row>
    <row r="21" spans="1:14" ht="13.5" thickBot="1">
      <c r="A21" s="55" t="s">
        <v>178</v>
      </c>
      <c r="B21" s="56"/>
      <c r="C21" s="123"/>
      <c r="D21" s="56"/>
      <c r="E21" s="123">
        <v>100</v>
      </c>
      <c r="F21" s="56"/>
      <c r="G21" s="123">
        <v>200</v>
      </c>
      <c r="H21" s="123">
        <v>0.009075</v>
      </c>
      <c r="I21" s="155">
        <v>0.5</v>
      </c>
      <c r="J21" s="123">
        <f>+E21*H21*I21</f>
        <v>0.45375</v>
      </c>
      <c r="K21" s="189">
        <f>+G21*H21*I21</f>
        <v>0.9075</v>
      </c>
      <c r="L21" s="150">
        <f>+E21*H21</f>
        <v>0.9075</v>
      </c>
      <c r="M21" s="229">
        <f>+G21*H21</f>
        <v>1.815</v>
      </c>
      <c r="N21" s="230" t="s">
        <v>30</v>
      </c>
    </row>
    <row r="24" ht="13.5" thickBot="1"/>
    <row r="25" spans="2:9" ht="13.5" thickBot="1">
      <c r="B25" s="47" t="s">
        <v>232</v>
      </c>
      <c r="C25" s="37"/>
      <c r="D25" s="37"/>
      <c r="E25" s="37"/>
      <c r="F25" s="37"/>
      <c r="G25" s="37"/>
      <c r="H25" s="8" t="s">
        <v>38</v>
      </c>
      <c r="I25" s="7" t="s">
        <v>39</v>
      </c>
    </row>
    <row r="26" spans="2:9" ht="12.75">
      <c r="B26" s="50" t="s">
        <v>40</v>
      </c>
      <c r="C26" s="26"/>
      <c r="D26" s="26"/>
      <c r="E26" s="26"/>
      <c r="F26" s="26" t="s">
        <v>41</v>
      </c>
      <c r="G26" s="26"/>
      <c r="H26" s="158">
        <f>+J7+J11+J16+J20+J21</f>
        <v>69.85625</v>
      </c>
      <c r="I26" s="159">
        <f>+K7+K11+K16+J20+J21</f>
        <v>106.23625000000001</v>
      </c>
    </row>
    <row r="27" spans="2:9" ht="12.75">
      <c r="B27" s="124" t="s">
        <v>42</v>
      </c>
      <c r="C27" s="27"/>
      <c r="D27" s="27"/>
      <c r="E27" s="27"/>
      <c r="F27" s="27"/>
      <c r="G27" s="27"/>
      <c r="H27" s="125">
        <f>+L7+L11+J16+L20+L21</f>
        <v>134.76250000000002</v>
      </c>
      <c r="I27" s="125">
        <f>+M7+M11+K16+M20+M21</f>
        <v>207.925</v>
      </c>
    </row>
    <row r="28" spans="2:9" ht="13.5" thickBot="1">
      <c r="B28" s="476" t="s">
        <v>122</v>
      </c>
      <c r="C28" s="475"/>
      <c r="D28" s="475"/>
      <c r="E28" s="475"/>
      <c r="F28" s="475"/>
      <c r="G28" s="477"/>
      <c r="H28" s="63">
        <f>+(L7+L11+J16+L20+L21)*0.34</f>
        <v>45.81925000000001</v>
      </c>
      <c r="I28" s="63">
        <f>+(M7+M11+K16+M20+M21)*0.34</f>
        <v>70.6945</v>
      </c>
    </row>
    <row r="29" spans="2:9" ht="12.75">
      <c r="B29" s="126"/>
      <c r="C29" s="126"/>
      <c r="D29" s="126"/>
      <c r="E29" s="126"/>
      <c r="F29" s="126"/>
      <c r="G29" s="126"/>
      <c r="H29" s="127"/>
      <c r="I29" s="127"/>
    </row>
    <row r="30" spans="1:14" ht="12.75">
      <c r="A30" s="14"/>
      <c r="B30" s="14" t="s">
        <v>13</v>
      </c>
      <c r="N30" s="64"/>
    </row>
    <row r="32" s="157" customFormat="1" ht="12.75">
      <c r="A32" s="157" t="s">
        <v>219</v>
      </c>
    </row>
    <row r="33" s="157" customFormat="1" ht="12.75">
      <c r="A33" s="157" t="s">
        <v>220</v>
      </c>
    </row>
    <row r="34" spans="1:14" s="157" customFormat="1" ht="11.25">
      <c r="A34" s="226" t="s">
        <v>211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="157" customFormat="1" ht="11.25">
      <c r="A35" s="157" t="s">
        <v>181</v>
      </c>
    </row>
    <row r="36" ht="12.75">
      <c r="N36" s="64"/>
    </row>
  </sheetData>
  <sheetProtection/>
  <mergeCells count="20">
    <mergeCell ref="A4:A6"/>
    <mergeCell ref="J2:K2"/>
    <mergeCell ref="G3:G6"/>
    <mergeCell ref="E3:E6"/>
    <mergeCell ref="C3:C6"/>
    <mergeCell ref="I3:I6"/>
    <mergeCell ref="H3:H6"/>
    <mergeCell ref="J18:K18"/>
    <mergeCell ref="L18:M18"/>
    <mergeCell ref="L2:M2"/>
    <mergeCell ref="M3:M6"/>
    <mergeCell ref="L3:L6"/>
    <mergeCell ref="J3:J6"/>
    <mergeCell ref="K3:K6"/>
    <mergeCell ref="N3:N6"/>
    <mergeCell ref="J9:K9"/>
    <mergeCell ref="L9:M9"/>
    <mergeCell ref="N18:N19"/>
    <mergeCell ref="N9:N10"/>
    <mergeCell ref="B28:G28"/>
  </mergeCells>
  <printOptions horizontalCentered="1"/>
  <pageMargins left="0.75" right="0.25" top="1.75" bottom="0.75" header="0.75" footer="0.5"/>
  <pageSetup horizontalDpi="300" verticalDpi="300" orientation="landscape" scale="68" r:id="rId1"/>
  <headerFooter alignWithMargins="0">
    <oddHeader>&amp;C&amp;"Arial,Bold"&amp;12TABLE A-21
Fugitive Construction
Emission Estimates</oddHeader>
    <oddFooter>&amp;L&amp;8N:\2105\&amp;F:&amp;A&amp;R&amp;8&amp;D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3" width="20.7109375" style="0" customWidth="1"/>
    <col min="5" max="5" width="25.7109375" style="0" customWidth="1"/>
    <col min="11" max="11" width="8.421875" style="0" customWidth="1"/>
  </cols>
  <sheetData>
    <row r="1" spans="1:4" ht="17.25">
      <c r="A1" s="163"/>
      <c r="C1" s="163" t="s">
        <v>13</v>
      </c>
      <c r="D1" s="163"/>
    </row>
    <row r="2" spans="1:5" ht="17.25">
      <c r="A2" s="163"/>
      <c r="B2" s="387" t="s">
        <v>212</v>
      </c>
      <c r="C2" s="491"/>
      <c r="D2" s="491"/>
      <c r="E2" s="491"/>
    </row>
    <row r="3" spans="3:9" ht="17.25">
      <c r="C3" s="492" t="s">
        <v>13</v>
      </c>
      <c r="D3" s="492"/>
      <c r="F3" s="161" t="s">
        <v>13</v>
      </c>
      <c r="G3" s="152"/>
      <c r="H3" s="152"/>
      <c r="I3" s="152"/>
    </row>
    <row r="4" spans="2:9" ht="15">
      <c r="B4" s="387" t="s">
        <v>254</v>
      </c>
      <c r="C4" s="495"/>
      <c r="D4" s="495"/>
      <c r="E4" s="495"/>
      <c r="F4" s="164"/>
      <c r="G4" s="164"/>
      <c r="H4" s="164"/>
      <c r="I4" s="164"/>
    </row>
    <row r="5" spans="3:9" ht="15">
      <c r="C5" s="164"/>
      <c r="D5" s="164"/>
      <c r="E5" s="164"/>
      <c r="F5" s="164"/>
      <c r="G5" s="164"/>
      <c r="H5" s="164"/>
      <c r="I5" s="164"/>
    </row>
    <row r="6" spans="3:9" ht="15.75" thickBot="1">
      <c r="C6" s="164"/>
      <c r="D6" s="164"/>
      <c r="E6" s="164"/>
      <c r="F6" s="164"/>
      <c r="G6" s="164"/>
      <c r="H6" s="164"/>
      <c r="I6" s="164"/>
    </row>
    <row r="7" spans="2:9" ht="15.75" thickBot="1">
      <c r="B7" s="493" t="s">
        <v>213</v>
      </c>
      <c r="C7" s="493"/>
      <c r="D7" s="165" t="s">
        <v>214</v>
      </c>
      <c r="E7" s="165" t="s">
        <v>116</v>
      </c>
      <c r="F7" s="164"/>
      <c r="G7" s="164"/>
      <c r="H7" s="164"/>
      <c r="I7" s="164"/>
    </row>
    <row r="8" spans="2:9" ht="15">
      <c r="B8" s="494" t="s">
        <v>215</v>
      </c>
      <c r="C8" s="494"/>
      <c r="D8" s="166">
        <v>100</v>
      </c>
      <c r="E8" s="167"/>
      <c r="F8" s="164"/>
      <c r="G8" s="164"/>
      <c r="H8" s="164"/>
      <c r="I8" s="164"/>
    </row>
    <row r="9" spans="2:9" ht="15">
      <c r="B9" s="409" t="s">
        <v>216</v>
      </c>
      <c r="C9" s="409"/>
      <c r="D9" s="168">
        <v>3.5</v>
      </c>
      <c r="E9" s="174" t="s">
        <v>217</v>
      </c>
      <c r="F9" s="164"/>
      <c r="G9" s="164"/>
      <c r="H9" s="164"/>
      <c r="I9" s="164"/>
    </row>
    <row r="10" spans="2:5" ht="12.75">
      <c r="B10" s="409" t="s">
        <v>218</v>
      </c>
      <c r="C10" s="409"/>
      <c r="D10" s="168">
        <f>+D8*D9</f>
        <v>350</v>
      </c>
      <c r="E10" s="20"/>
    </row>
    <row r="12" spans="1:2" ht="12.75">
      <c r="A12" s="14" t="s">
        <v>13</v>
      </c>
      <c r="B12" s="14" t="s">
        <v>58</v>
      </c>
    </row>
    <row r="13" ht="12.75">
      <c r="A13" s="14"/>
    </row>
    <row r="14" spans="1:2" ht="12.75">
      <c r="A14" s="14" t="s">
        <v>13</v>
      </c>
      <c r="B14" s="14"/>
    </row>
  </sheetData>
  <sheetProtection/>
  <mergeCells count="7">
    <mergeCell ref="B2:E2"/>
    <mergeCell ref="B10:C10"/>
    <mergeCell ref="B9:C9"/>
    <mergeCell ref="C3:D3"/>
    <mergeCell ref="B7:C7"/>
    <mergeCell ref="B8:C8"/>
    <mergeCell ref="B4:E4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&amp;C&amp;"Arial,Bold"&amp;12TABLE A-22</oddHeader>
    <oddFooter>&amp;LN:2105\&amp;F:&amp;A&amp;R&amp;D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2.00390625" style="0" bestFit="1" customWidth="1"/>
  </cols>
  <sheetData>
    <row r="1" spans="1:7" ht="15">
      <c r="A1" s="387" t="s">
        <v>240</v>
      </c>
      <c r="B1" s="387"/>
      <c r="C1" s="387"/>
      <c r="D1" s="387"/>
      <c r="E1" s="387"/>
      <c r="F1" s="387"/>
      <c r="G1" s="387"/>
    </row>
    <row r="2" ht="13.5" thickBot="1"/>
    <row r="3" spans="1:7" ht="13.5" thickTop="1">
      <c r="A3" s="496" t="s">
        <v>234</v>
      </c>
      <c r="B3" s="497"/>
      <c r="C3" s="500" t="s">
        <v>239</v>
      </c>
      <c r="D3" s="501"/>
      <c r="E3" s="501"/>
      <c r="F3" s="502"/>
      <c r="G3" s="503"/>
    </row>
    <row r="4" spans="1:7" ht="13.5" thickBot="1">
      <c r="A4" s="498"/>
      <c r="B4" s="499"/>
      <c r="C4" s="293" t="s">
        <v>0</v>
      </c>
      <c r="D4" s="293" t="s">
        <v>1</v>
      </c>
      <c r="E4" s="293" t="s">
        <v>2</v>
      </c>
      <c r="F4" s="293" t="s">
        <v>14</v>
      </c>
      <c r="G4" s="294" t="s">
        <v>3</v>
      </c>
    </row>
    <row r="5" spans="1:7" ht="13.5" thickTop="1">
      <c r="A5" s="292" t="s">
        <v>188</v>
      </c>
      <c r="B5" s="292"/>
      <c r="C5" s="292"/>
      <c r="D5" s="292"/>
      <c r="E5" s="292"/>
      <c r="F5" s="292"/>
      <c r="G5" s="292"/>
    </row>
    <row r="6" spans="1:7" ht="12.75">
      <c r="A6" s="20" t="s">
        <v>83</v>
      </c>
      <c r="B6" s="20"/>
      <c r="C6" s="29">
        <v>395.52</v>
      </c>
      <c r="D6" s="29">
        <v>187.81</v>
      </c>
      <c r="E6" s="29">
        <v>386.59</v>
      </c>
      <c r="F6" s="29">
        <v>66.39</v>
      </c>
      <c r="G6" s="29">
        <v>26.44</v>
      </c>
    </row>
    <row r="7" spans="1:7" ht="12.75">
      <c r="A7" s="20" t="s">
        <v>235</v>
      </c>
      <c r="B7" s="20"/>
      <c r="C7" s="29">
        <v>51.76</v>
      </c>
      <c r="D7" s="29">
        <v>3.73</v>
      </c>
      <c r="E7" s="29">
        <v>7.21</v>
      </c>
      <c r="F7" s="29">
        <v>0</v>
      </c>
      <c r="G7" s="29">
        <v>0.29</v>
      </c>
    </row>
    <row r="8" spans="1:7" ht="12.75">
      <c r="A8" s="20" t="s">
        <v>236</v>
      </c>
      <c r="B8" s="20"/>
      <c r="C8" s="29">
        <v>0</v>
      </c>
      <c r="D8" s="29">
        <v>0</v>
      </c>
      <c r="E8" s="29">
        <v>0</v>
      </c>
      <c r="F8" s="29">
        <v>0</v>
      </c>
      <c r="G8" s="29">
        <v>5</v>
      </c>
    </row>
    <row r="9" spans="1:7" ht="12.75">
      <c r="A9" s="20" t="s">
        <v>237</v>
      </c>
      <c r="B9" s="20"/>
      <c r="C9" s="29">
        <v>0</v>
      </c>
      <c r="D9" s="29">
        <v>0</v>
      </c>
      <c r="E9" s="29">
        <v>0</v>
      </c>
      <c r="F9" s="29">
        <v>0</v>
      </c>
      <c r="G9" s="29">
        <v>276</v>
      </c>
    </row>
    <row r="10" spans="1:7" ht="12.75">
      <c r="A10" s="25" t="s">
        <v>163</v>
      </c>
      <c r="B10" s="20"/>
      <c r="C10" s="29">
        <f>SUM(C6:C9)</f>
        <v>447.28</v>
      </c>
      <c r="D10" s="29">
        <f>SUM(D6:D9)</f>
        <v>191.54</v>
      </c>
      <c r="E10" s="29">
        <f>SUM(E6:E9)</f>
        <v>393.79999999999995</v>
      </c>
      <c r="F10" s="29">
        <f>SUM(F6:F9)</f>
        <v>66.39</v>
      </c>
      <c r="G10" s="29">
        <f>SUM(G6:G9)</f>
        <v>307.73</v>
      </c>
    </row>
    <row r="11" spans="1:7" ht="12.75">
      <c r="A11" s="20"/>
      <c r="B11" s="20"/>
      <c r="C11" s="29"/>
      <c r="D11" s="29"/>
      <c r="E11" s="29"/>
      <c r="F11" s="29"/>
      <c r="G11" s="29"/>
    </row>
    <row r="12" spans="1:7" ht="12.75">
      <c r="A12" s="20" t="s">
        <v>191</v>
      </c>
      <c r="B12" s="20"/>
      <c r="C12" s="29"/>
      <c r="D12" s="29"/>
      <c r="E12" s="29"/>
      <c r="F12" s="29"/>
      <c r="G12" s="29"/>
    </row>
    <row r="13" spans="1:7" ht="12.75">
      <c r="A13" s="20" t="s">
        <v>83</v>
      </c>
      <c r="B13" s="20"/>
      <c r="C13" s="29">
        <v>285.99</v>
      </c>
      <c r="D13" s="29">
        <v>26.2</v>
      </c>
      <c r="E13" s="29">
        <v>220.62</v>
      </c>
      <c r="F13" s="29">
        <v>21.41</v>
      </c>
      <c r="G13" s="29">
        <v>13.64</v>
      </c>
    </row>
    <row r="14" spans="1:7" ht="12.75">
      <c r="A14" s="20" t="s">
        <v>235</v>
      </c>
      <c r="B14" s="20"/>
      <c r="C14" s="29">
        <v>112.67</v>
      </c>
      <c r="D14" s="29">
        <v>9.77</v>
      </c>
      <c r="E14" s="29">
        <v>12.28</v>
      </c>
      <c r="F14" s="29">
        <v>0</v>
      </c>
      <c r="G14" s="29">
        <v>0.56</v>
      </c>
    </row>
    <row r="15" spans="1:7" ht="12.75">
      <c r="A15" s="20" t="s">
        <v>236</v>
      </c>
      <c r="B15" s="20"/>
      <c r="C15" s="29">
        <v>0</v>
      </c>
      <c r="D15" s="29">
        <v>0</v>
      </c>
      <c r="E15" s="29">
        <v>0</v>
      </c>
      <c r="F15" s="29">
        <v>0</v>
      </c>
      <c r="G15" s="29">
        <v>7.21</v>
      </c>
    </row>
    <row r="16" spans="1:7" ht="12.75">
      <c r="A16" s="20" t="s">
        <v>237</v>
      </c>
      <c r="B16" s="20"/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ht="12.75">
      <c r="A17" s="25" t="s">
        <v>163</v>
      </c>
      <c r="B17" s="20"/>
      <c r="C17" s="29">
        <f>SUM(C13:C16)</f>
        <v>398.66</v>
      </c>
      <c r="D17" s="29">
        <f>SUM(D13:D16)</f>
        <v>35.97</v>
      </c>
      <c r="E17" s="29">
        <f>SUM(E13:E16)</f>
        <v>232.9</v>
      </c>
      <c r="F17" s="29">
        <f>SUM(F13:F16)</f>
        <v>21.41</v>
      </c>
      <c r="G17" s="29">
        <f>SUM(G13:G16)</f>
        <v>21.41</v>
      </c>
    </row>
    <row r="18" spans="1:7" ht="12.75">
      <c r="A18" s="25"/>
      <c r="B18" s="20"/>
      <c r="C18" s="29"/>
      <c r="D18" s="29"/>
      <c r="E18" s="29"/>
      <c r="F18" s="29"/>
      <c r="G18" s="29"/>
    </row>
    <row r="19" spans="1:7" ht="12.75">
      <c r="A19" s="110" t="s">
        <v>194</v>
      </c>
      <c r="B19" s="20"/>
      <c r="C19" s="29"/>
      <c r="D19" s="29"/>
      <c r="E19" s="29"/>
      <c r="F19" s="29"/>
      <c r="G19" s="29"/>
    </row>
    <row r="20" spans="1:7" ht="12.75">
      <c r="A20" s="20" t="s">
        <v>83</v>
      </c>
      <c r="B20" s="20"/>
      <c r="C20" s="29">
        <v>300.28</v>
      </c>
      <c r="D20" s="29">
        <v>98.59</v>
      </c>
      <c r="E20" s="29">
        <v>205.44</v>
      </c>
      <c r="F20" s="29">
        <v>31.94</v>
      </c>
      <c r="G20" s="29">
        <v>12.11</v>
      </c>
    </row>
    <row r="21" spans="1:7" ht="12.75">
      <c r="A21" s="20" t="s">
        <v>235</v>
      </c>
      <c r="B21" s="20"/>
      <c r="C21" s="29">
        <v>77.15</v>
      </c>
      <c r="D21" s="29">
        <v>6.58</v>
      </c>
      <c r="E21" s="29">
        <v>9.6</v>
      </c>
      <c r="F21" s="29">
        <v>0</v>
      </c>
      <c r="G21" s="29">
        <v>0.41</v>
      </c>
    </row>
    <row r="22" spans="1:7" ht="12.75">
      <c r="A22" s="20" t="s">
        <v>236</v>
      </c>
      <c r="B22" s="20"/>
      <c r="C22" s="29">
        <v>0</v>
      </c>
      <c r="D22" s="29">
        <v>0</v>
      </c>
      <c r="E22" s="29">
        <v>0</v>
      </c>
      <c r="F22" s="29">
        <v>0</v>
      </c>
      <c r="G22" s="29">
        <v>5.99</v>
      </c>
    </row>
    <row r="23" spans="1:7" ht="12.75">
      <c r="A23" s="20" t="s">
        <v>237</v>
      </c>
      <c r="B23" s="20"/>
      <c r="C23" s="29">
        <v>0</v>
      </c>
      <c r="D23" s="29">
        <v>0</v>
      </c>
      <c r="E23" s="29">
        <v>0</v>
      </c>
      <c r="F23" s="29">
        <v>0</v>
      </c>
      <c r="G23" s="29">
        <v>69.86</v>
      </c>
    </row>
    <row r="24" spans="1:7" ht="12.75">
      <c r="A24" s="25" t="s">
        <v>163</v>
      </c>
      <c r="B24" s="20"/>
      <c r="C24" s="29">
        <f>SUM(C20:C23)</f>
        <v>377.42999999999995</v>
      </c>
      <c r="D24" s="29">
        <f>SUM(D20:D23)</f>
        <v>105.17</v>
      </c>
      <c r="E24" s="29">
        <f>SUM(E20:E23)</f>
        <v>215.04</v>
      </c>
      <c r="F24" s="29">
        <f>SUM(F20:F23)</f>
        <v>31.94</v>
      </c>
      <c r="G24" s="29">
        <f>SUM(G20:G23)</f>
        <v>88.37</v>
      </c>
    </row>
    <row r="25" spans="1:7" ht="12.75">
      <c r="A25" s="25"/>
      <c r="B25" s="20"/>
      <c r="C25" s="29"/>
      <c r="D25" s="29"/>
      <c r="E25" s="29"/>
      <c r="F25" s="29"/>
      <c r="G25" s="29"/>
    </row>
    <row r="26" spans="1:7" ht="12.75">
      <c r="A26" s="20" t="s">
        <v>195</v>
      </c>
      <c r="B26" s="20"/>
      <c r="C26" s="29"/>
      <c r="D26" s="29"/>
      <c r="E26" s="29"/>
      <c r="F26" s="29"/>
      <c r="G26" s="29"/>
    </row>
    <row r="27" spans="1:7" ht="12.75">
      <c r="A27" s="20" t="s">
        <v>83</v>
      </c>
      <c r="B27" s="20"/>
      <c r="C27" s="29">
        <v>299.46</v>
      </c>
      <c r="D27" s="29">
        <v>100.12</v>
      </c>
      <c r="E27" s="29">
        <v>220.2</v>
      </c>
      <c r="F27" s="29">
        <v>29.8</v>
      </c>
      <c r="G27" s="29">
        <v>12.98</v>
      </c>
    </row>
    <row r="28" spans="1:7" ht="12.75">
      <c r="A28" s="20" t="s">
        <v>235</v>
      </c>
      <c r="B28" s="20"/>
      <c r="C28" s="29">
        <v>51.76</v>
      </c>
      <c r="D28" s="29">
        <v>3.73</v>
      </c>
      <c r="E28" s="29">
        <v>7.21</v>
      </c>
      <c r="F28" s="29">
        <v>0</v>
      </c>
      <c r="G28" s="29">
        <v>0.29</v>
      </c>
    </row>
    <row r="29" spans="1:7" ht="12.75">
      <c r="A29" s="20" t="s">
        <v>236</v>
      </c>
      <c r="B29" s="20"/>
      <c r="C29" s="29">
        <v>0</v>
      </c>
      <c r="D29" s="29">
        <v>0</v>
      </c>
      <c r="E29" s="29">
        <v>0</v>
      </c>
      <c r="F29" s="29">
        <v>0</v>
      </c>
      <c r="G29" s="29">
        <v>5</v>
      </c>
    </row>
    <row r="30" spans="1:7" ht="12.75">
      <c r="A30" s="20" t="s">
        <v>237</v>
      </c>
      <c r="B30" s="20"/>
      <c r="C30" s="29">
        <v>0</v>
      </c>
      <c r="D30" s="29">
        <v>0</v>
      </c>
      <c r="E30" s="29">
        <v>0</v>
      </c>
      <c r="F30" s="29">
        <v>0</v>
      </c>
      <c r="G30" s="29">
        <v>69.86</v>
      </c>
    </row>
    <row r="31" spans="1:7" ht="12.75">
      <c r="A31" s="20" t="s">
        <v>238</v>
      </c>
      <c r="B31" s="20"/>
      <c r="C31" s="29">
        <v>0</v>
      </c>
      <c r="D31" s="29">
        <v>350</v>
      </c>
      <c r="E31" s="29">
        <v>0</v>
      </c>
      <c r="F31" s="29">
        <v>0</v>
      </c>
      <c r="G31" s="29">
        <v>0</v>
      </c>
    </row>
    <row r="32" spans="1:7" ht="12.75">
      <c r="A32" s="25" t="s">
        <v>163</v>
      </c>
      <c r="B32" s="20"/>
      <c r="C32" s="29">
        <f>SUM(C27:C31)</f>
        <v>351.21999999999997</v>
      </c>
      <c r="D32" s="29">
        <f>SUM(D27:D31)</f>
        <v>453.85</v>
      </c>
      <c r="E32" s="29">
        <f>SUM(E27:E31)</f>
        <v>227.41</v>
      </c>
      <c r="F32" s="29">
        <f>SUM(F27:F31)</f>
        <v>29.8</v>
      </c>
      <c r="G32" s="29">
        <f>SUM(G27:G31)</f>
        <v>88.13</v>
      </c>
    </row>
  </sheetData>
  <sheetProtection/>
  <mergeCells count="3">
    <mergeCell ref="A3:B4"/>
    <mergeCell ref="C3:G3"/>
    <mergeCell ref="A1:G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&amp;C&amp;"Arial,Bold"&amp;12TABLE A-23</oddHeader>
    <oddFooter>&amp;L&amp;8N:\2105\&amp;F:&amp;A&amp;R&amp;8&amp;D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140625" style="0" customWidth="1"/>
    <col min="2" max="3" width="9.421875" style="0" customWidth="1"/>
    <col min="4" max="4" width="9.8515625" style="0" customWidth="1"/>
  </cols>
  <sheetData>
    <row r="1" spans="1:4" ht="41.25" customHeight="1" thickBot="1">
      <c r="A1" s="355" t="s">
        <v>336</v>
      </c>
      <c r="B1" s="356" t="s">
        <v>337</v>
      </c>
      <c r="C1" s="357" t="s">
        <v>338</v>
      </c>
      <c r="D1" s="358" t="s">
        <v>339</v>
      </c>
    </row>
    <row r="2" spans="1:4" ht="12.75">
      <c r="A2" s="353" t="s">
        <v>340</v>
      </c>
      <c r="B2" s="353">
        <v>2</v>
      </c>
      <c r="C2" s="353">
        <v>104</v>
      </c>
      <c r="D2" s="353">
        <f>B2*C2</f>
        <v>208</v>
      </c>
    </row>
    <row r="3" spans="1:4" ht="12.75">
      <c r="A3" s="354" t="s">
        <v>341</v>
      </c>
      <c r="B3" s="354">
        <f>B2</f>
        <v>2</v>
      </c>
      <c r="C3" s="354">
        <v>80</v>
      </c>
      <c r="D3" s="354">
        <f>B3*C3</f>
        <v>160</v>
      </c>
    </row>
    <row r="4" spans="1:4" ht="12.75">
      <c r="A4" s="354" t="s">
        <v>342</v>
      </c>
      <c r="B4" s="354">
        <f>32*B2</f>
        <v>64</v>
      </c>
      <c r="C4" s="354">
        <v>19</v>
      </c>
      <c r="D4" s="354">
        <f>B4*C4</f>
        <v>1216</v>
      </c>
    </row>
    <row r="5" spans="1:4" ht="12.75">
      <c r="A5" s="354" t="s">
        <v>343</v>
      </c>
      <c r="B5" s="354">
        <f>139*B2</f>
        <v>278</v>
      </c>
      <c r="C5" s="354">
        <v>1.5</v>
      </c>
      <c r="D5" s="354">
        <f>B5*C5</f>
        <v>417</v>
      </c>
    </row>
    <row r="6" spans="1:4" ht="12.75">
      <c r="A6" s="354" t="s">
        <v>344</v>
      </c>
      <c r="B6" s="354">
        <f>B2</f>
        <v>2</v>
      </c>
      <c r="C6" s="354">
        <v>0</v>
      </c>
      <c r="D6" s="354">
        <f>B6*C6</f>
        <v>0</v>
      </c>
    </row>
    <row r="7" spans="1:4" ht="12.75">
      <c r="A7" s="354" t="s">
        <v>12</v>
      </c>
      <c r="B7" s="354"/>
      <c r="C7" s="354"/>
      <c r="D7" s="354">
        <f>SUM(D2:D6)</f>
        <v>2001</v>
      </c>
    </row>
  </sheetData>
  <sheetProtection/>
  <printOptions horizontalCentered="1"/>
  <pageMargins left="0.75" right="0.75" top="1.3" bottom="1" header="0.5" footer="0.5"/>
  <pageSetup horizontalDpi="400" verticalDpi="400" orientation="portrait" r:id="rId1"/>
  <headerFooter alignWithMargins="0">
    <oddHeader>&amp;C&amp;"Arial,Bold"&amp;12TABLE A-24
Refinery Fugitive Emissions</oddHeader>
    <oddFooter>&amp;L&amp;8N:\2105\&amp;F:&amp;A&amp;R&amp;8&amp;D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3.00390625" style="0" customWidth="1"/>
    <col min="3" max="3" width="9.8515625" style="0" customWidth="1"/>
    <col min="4" max="4" width="10.28125" style="0" customWidth="1"/>
  </cols>
  <sheetData>
    <row r="1" spans="1:4" ht="39.75" thickBot="1">
      <c r="A1" s="338" t="s">
        <v>336</v>
      </c>
      <c r="B1" s="360" t="s">
        <v>337</v>
      </c>
      <c r="C1" s="361" t="s">
        <v>338</v>
      </c>
      <c r="D1" s="362" t="s">
        <v>339</v>
      </c>
    </row>
    <row r="2" spans="1:4" ht="12.75">
      <c r="A2" s="359" t="s">
        <v>340</v>
      </c>
      <c r="B2" s="359">
        <v>3</v>
      </c>
      <c r="C2" s="359">
        <v>104</v>
      </c>
      <c r="D2" s="359">
        <f>B2*C2</f>
        <v>312</v>
      </c>
    </row>
    <row r="3" spans="1:4" ht="12.75">
      <c r="A3" s="110" t="s">
        <v>341</v>
      </c>
      <c r="B3" s="110">
        <f>B2</f>
        <v>3</v>
      </c>
      <c r="C3" s="110">
        <v>80</v>
      </c>
      <c r="D3" s="110">
        <f>B3*C3</f>
        <v>240</v>
      </c>
    </row>
    <row r="4" spans="1:4" ht="12.75">
      <c r="A4" s="110" t="s">
        <v>342</v>
      </c>
      <c r="B4" s="110">
        <f>32*B2</f>
        <v>96</v>
      </c>
      <c r="C4" s="110">
        <v>19</v>
      </c>
      <c r="D4" s="110">
        <f>B4*C4</f>
        <v>1824</v>
      </c>
    </row>
    <row r="5" spans="1:4" ht="12.75">
      <c r="A5" s="110" t="s">
        <v>343</v>
      </c>
      <c r="B5" s="110">
        <f>139*B2</f>
        <v>417</v>
      </c>
      <c r="C5" s="110">
        <v>1.5</v>
      </c>
      <c r="D5" s="110">
        <f>B5*C5</f>
        <v>625.5</v>
      </c>
    </row>
    <row r="6" spans="1:4" ht="12.75">
      <c r="A6" s="110" t="s">
        <v>344</v>
      </c>
      <c r="B6" s="110">
        <f>B2</f>
        <v>3</v>
      </c>
      <c r="C6" s="110">
        <v>0</v>
      </c>
      <c r="D6" s="110">
        <f>B6*C6</f>
        <v>0</v>
      </c>
    </row>
    <row r="7" spans="1:4" ht="12.75">
      <c r="A7" s="110" t="s">
        <v>12</v>
      </c>
      <c r="B7" s="110"/>
      <c r="C7" s="110"/>
      <c r="D7" s="110">
        <f>SUM(D2:D6)</f>
        <v>3001.5</v>
      </c>
    </row>
  </sheetData>
  <sheetProtection/>
  <printOptions horizontalCentered="1"/>
  <pageMargins left="0.75" right="0.75" top="1.35" bottom="1" header="0.5" footer="0.5"/>
  <pageSetup horizontalDpi="400" verticalDpi="400" orientation="portrait" r:id="rId1"/>
  <headerFooter alignWithMargins="0">
    <oddHeader>&amp;C&amp;"Arial,Bold"&amp;12TABLE A-25
Marine Tank Farm Fugitive Emissions</oddHeader>
    <oddFooter>&amp;L&amp;8N:\2105\&amp;F:&amp;A&amp;R&amp;8&amp;D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2.28125" style="0" customWidth="1"/>
    <col min="2" max="2" width="9.57421875" style="0" customWidth="1"/>
    <col min="3" max="3" width="11.00390625" style="0" customWidth="1"/>
    <col min="4" max="4" width="11.140625" style="0" customWidth="1"/>
  </cols>
  <sheetData>
    <row r="1" spans="1:4" ht="40.5" customHeight="1" thickBot="1">
      <c r="A1" s="338" t="s">
        <v>336</v>
      </c>
      <c r="B1" s="360" t="s">
        <v>337</v>
      </c>
      <c r="C1" s="361" t="s">
        <v>338</v>
      </c>
      <c r="D1" s="362" t="s">
        <v>339</v>
      </c>
    </row>
    <row r="2" spans="1:4" ht="12.75">
      <c r="A2" s="359" t="s">
        <v>340</v>
      </c>
      <c r="B2" s="359">
        <v>2</v>
      </c>
      <c r="C2" s="359">
        <v>104</v>
      </c>
      <c r="D2" s="359">
        <f>B2*C2</f>
        <v>208</v>
      </c>
    </row>
    <row r="3" spans="1:4" ht="12.75">
      <c r="A3" s="110" t="s">
        <v>341</v>
      </c>
      <c r="B3" s="110">
        <f>B2</f>
        <v>2</v>
      </c>
      <c r="C3" s="110">
        <v>80</v>
      </c>
      <c r="D3" s="110">
        <f>B3*C3</f>
        <v>160</v>
      </c>
    </row>
    <row r="4" spans="1:4" ht="12.75">
      <c r="A4" s="110" t="s">
        <v>342</v>
      </c>
      <c r="B4" s="110">
        <f>32*B2</f>
        <v>64</v>
      </c>
      <c r="C4" s="110">
        <v>19</v>
      </c>
      <c r="D4" s="110">
        <f>B4*C4</f>
        <v>1216</v>
      </c>
    </row>
    <row r="5" spans="1:4" ht="12.75">
      <c r="A5" s="110" t="s">
        <v>343</v>
      </c>
      <c r="B5" s="110">
        <f>139*B2</f>
        <v>278</v>
      </c>
      <c r="C5" s="110">
        <v>1.5</v>
      </c>
      <c r="D5" s="110">
        <f>B5*C5</f>
        <v>417</v>
      </c>
    </row>
    <row r="6" spans="1:4" ht="12.75">
      <c r="A6" s="110" t="s">
        <v>344</v>
      </c>
      <c r="B6" s="110">
        <f>B2</f>
        <v>2</v>
      </c>
      <c r="C6" s="110">
        <v>0</v>
      </c>
      <c r="D6" s="110">
        <f>B6*C6</f>
        <v>0</v>
      </c>
    </row>
    <row r="7" spans="1:4" ht="12.75">
      <c r="A7" s="110" t="s">
        <v>12</v>
      </c>
      <c r="B7" s="110"/>
      <c r="C7" s="110"/>
      <c r="D7" s="110">
        <f>SUM(D2:D6)</f>
        <v>2001</v>
      </c>
    </row>
  </sheetData>
  <sheetProtection/>
  <printOptions horizontalCentered="1"/>
  <pageMargins left="0.75" right="0.75" top="1.35" bottom="1" header="0.5" footer="0.5"/>
  <pageSetup horizontalDpi="400" verticalDpi="400" orientation="portrait" r:id="rId1"/>
  <headerFooter alignWithMargins="0">
    <oddHeader>&amp;C&amp;"Arial,Bold"&amp;12TABLE A-26
Olympic Tank Farm Fugitive Emissions</oddHeader>
    <oddFooter>&amp;L&amp;8N:\2105\&amp;F:&amp;A&amp;R&amp;8&amp;D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3.7109375" style="371" bestFit="1" customWidth="1"/>
    <col min="2" max="2" width="31.421875" style="371" hidden="1" customWidth="1"/>
    <col min="3" max="3" width="11.57421875" style="371" bestFit="1" customWidth="1"/>
    <col min="4" max="4" width="18.00390625" style="371" bestFit="1" customWidth="1"/>
    <col min="5" max="6" width="10.28125" style="371" bestFit="1" customWidth="1"/>
    <col min="7" max="7" width="13.421875" style="371" bestFit="1" customWidth="1"/>
    <col min="8" max="9" width="17.140625" style="375" bestFit="1" customWidth="1"/>
    <col min="10" max="10" width="13.140625" style="371" bestFit="1" customWidth="1"/>
    <col min="11" max="16384" width="9.140625" style="371" customWidth="1"/>
  </cols>
  <sheetData>
    <row r="1" spans="1:10" ht="26.25">
      <c r="A1" s="369" t="s">
        <v>349</v>
      </c>
      <c r="B1" s="369" t="s">
        <v>350</v>
      </c>
      <c r="C1" s="369" t="s">
        <v>351</v>
      </c>
      <c r="D1" s="369" t="s">
        <v>352</v>
      </c>
      <c r="E1" s="369" t="s">
        <v>353</v>
      </c>
      <c r="F1" s="369" t="s">
        <v>354</v>
      </c>
      <c r="G1" s="369" t="s">
        <v>355</v>
      </c>
      <c r="H1" s="370" t="s">
        <v>356</v>
      </c>
      <c r="I1" s="370" t="s">
        <v>357</v>
      </c>
      <c r="J1" s="370" t="s">
        <v>358</v>
      </c>
    </row>
    <row r="2" spans="1:10" ht="21.75" customHeight="1">
      <c r="A2" s="369" t="str">
        <f>'[5]tank run'!D2</f>
        <v>Organic Liquid/Naphtha</v>
      </c>
      <c r="B2" s="369" t="str">
        <f>'[5]tank run'!F2</f>
        <v>Domed External Floating Roof Tank</v>
      </c>
      <c r="C2" s="369" t="str">
        <f>'[5]tank run'!G2</f>
        <v>199-TK-301</v>
      </c>
      <c r="D2" s="369" t="str">
        <f>'[5]tank run'!K2</f>
        <v>Marine Tank Farm</v>
      </c>
      <c r="E2" s="372">
        <f>'[5]tank run'!T2</f>
        <v>462.7088987891453</v>
      </c>
      <c r="F2" s="372">
        <f>'[5]tank run'!U2</f>
        <v>1056.16</v>
      </c>
      <c r="G2" s="372">
        <f>'[5]tank run'!V2</f>
        <v>1881.065909877472</v>
      </c>
      <c r="H2" s="373">
        <f aca="true" t="shared" si="0" ref="H2:H15">SUM(E2:G2)</f>
        <v>3399.9348086666173</v>
      </c>
      <c r="I2" s="373">
        <v>31214.257733169914</v>
      </c>
      <c r="J2" s="374">
        <f aca="true" t="shared" si="1" ref="J2:J15">I2-H2</f>
        <v>27814.322924503296</v>
      </c>
    </row>
    <row r="3" spans="1:10" ht="21.75" customHeight="1">
      <c r="A3" s="369" t="str">
        <f>'[5]tank run'!D3</f>
        <v>Gasoline/Gasoline Blend Components</v>
      </c>
      <c r="B3" s="369" t="str">
        <f>'[5]tank run'!F3</f>
        <v>Domed External Floating Roof Tank</v>
      </c>
      <c r="C3" s="369" t="str">
        <f>'[5]tank run'!G3</f>
        <v>299-TK-1001</v>
      </c>
      <c r="D3" s="369" t="str">
        <f>'[5]tank run'!K3</f>
        <v>Olympic Tank Farm</v>
      </c>
      <c r="E3" s="372">
        <f>'[5]tank run'!T3</f>
        <v>1665.752035640923</v>
      </c>
      <c r="F3" s="372">
        <f>'[5]tank run'!U3</f>
        <v>176.02666666666664</v>
      </c>
      <c r="G3" s="372">
        <f>'[5]tank run'!V3</f>
        <v>2657.799914644851</v>
      </c>
      <c r="H3" s="373">
        <f t="shared" si="0"/>
        <v>4499.578616952441</v>
      </c>
      <c r="I3" s="373">
        <v>38359.12107283106</v>
      </c>
      <c r="J3" s="374">
        <f t="shared" si="1"/>
        <v>33859.54245587862</v>
      </c>
    </row>
    <row r="4" spans="1:10" ht="21.75" customHeight="1">
      <c r="A4" s="369" t="str">
        <f>'[5]tank run'!D4</f>
        <v>Organic Liquid/Naphtha</v>
      </c>
      <c r="B4" s="369" t="str">
        <f>'[5]tank run'!F4</f>
        <v>Domed External Floating Roof Tank</v>
      </c>
      <c r="C4" s="369" t="str">
        <f>'[5]tank run'!G4</f>
        <v>299-TK-1002</v>
      </c>
      <c r="D4" s="369" t="str">
        <f>'[5]tank run'!K4</f>
        <v>Olympic Tank Farm</v>
      </c>
      <c r="E4" s="372">
        <f>'[5]tank run'!T4</f>
        <v>1665.752035640923</v>
      </c>
      <c r="F4" s="372">
        <f>'[5]tank run'!U4</f>
        <v>176.02666666666664</v>
      </c>
      <c r="G4" s="372">
        <f>'[5]tank run'!V4</f>
        <v>2657.799914644851</v>
      </c>
      <c r="H4" s="373">
        <f t="shared" si="0"/>
        <v>4499.578616952441</v>
      </c>
      <c r="I4" s="373">
        <v>38359.12107283106</v>
      </c>
      <c r="J4" s="374">
        <f t="shared" si="1"/>
        <v>33859.54245587862</v>
      </c>
    </row>
    <row r="5" spans="1:10" ht="21.75" customHeight="1">
      <c r="A5" s="369" t="str">
        <f>'[5]tank run'!D5</f>
        <v>Gasoline/Gasoline Blend Components</v>
      </c>
      <c r="B5" s="369" t="str">
        <f>'[5]tank run'!F5</f>
        <v>Domed External Floating Roof Tank</v>
      </c>
      <c r="C5" s="369" t="str">
        <f>'[5]tank run'!G5</f>
        <v>299-TK-1003</v>
      </c>
      <c r="D5" s="369" t="str">
        <f>'[5]tank run'!K5</f>
        <v>Olympic Tank Farm</v>
      </c>
      <c r="E5" s="372">
        <f>'[5]tank run'!T5</f>
        <v>832.8760178204615</v>
      </c>
      <c r="F5" s="372">
        <f>'[5]tank run'!U5</f>
        <v>176.02666666666664</v>
      </c>
      <c r="G5" s="372">
        <f>'[5]tank run'!V5</f>
        <v>2643.19887828306</v>
      </c>
      <c r="H5" s="373">
        <f t="shared" si="0"/>
        <v>3652.101562770188</v>
      </c>
      <c r="I5" s="373">
        <v>33342.99145998837</v>
      </c>
      <c r="J5" s="374">
        <f t="shared" si="1"/>
        <v>29690.88989721818</v>
      </c>
    </row>
    <row r="6" spans="1:10" ht="21.75" customHeight="1">
      <c r="A6" s="369" t="str">
        <f>'[5]tank run'!D6</f>
        <v>Gasoline/Gasoline Blend Components</v>
      </c>
      <c r="B6" s="369" t="str">
        <f>'[5]tank run'!F6</f>
        <v>Domed External Floating Roof Tank</v>
      </c>
      <c r="C6" s="369" t="str">
        <f>'[5]tank run'!G6</f>
        <v>299-TK-1004</v>
      </c>
      <c r="D6" s="369" t="str">
        <f>'[5]tank run'!K6</f>
        <v>Olympic Tank Farm</v>
      </c>
      <c r="E6" s="372">
        <f>'[5]tank run'!T6</f>
        <v>1665.752035640923</v>
      </c>
      <c r="F6" s="372">
        <f>'[5]tank run'!U6</f>
        <v>176.02666666666664</v>
      </c>
      <c r="G6" s="372">
        <f>'[5]tank run'!V6</f>
        <v>2657.799914644851</v>
      </c>
      <c r="H6" s="373">
        <f t="shared" si="0"/>
        <v>4499.578616952441</v>
      </c>
      <c r="I6" s="373">
        <v>38359.12107283106</v>
      </c>
      <c r="J6" s="374">
        <f t="shared" si="1"/>
        <v>33859.54245587862</v>
      </c>
    </row>
    <row r="7" spans="1:10" ht="21.75" customHeight="1">
      <c r="A7" s="369" t="str">
        <f>'[5]tank run'!D7</f>
        <v>Gasoline/Gasoline Blend Components</v>
      </c>
      <c r="B7" s="369" t="str">
        <f>'[5]tank run'!F7</f>
        <v>Domed External Floating Roof Tank</v>
      </c>
      <c r="C7" s="369" t="str">
        <f>'[5]tank run'!G7</f>
        <v>299-TK-1501</v>
      </c>
      <c r="D7" s="369" t="str">
        <f>'[5]tank run'!K7</f>
        <v>Olympic Tank Farm</v>
      </c>
      <c r="E7" s="372">
        <f>'[5]tank run'!T7</f>
        <v>925.4177975782906</v>
      </c>
      <c r="F7" s="372">
        <f>'[5]tank run'!U7</f>
        <v>264.04</v>
      </c>
      <c r="G7" s="372">
        <f>'[5]tank run'!V7</f>
        <v>2809.774081847152</v>
      </c>
      <c r="H7" s="373">
        <f t="shared" si="0"/>
        <v>3999.2318794254425</v>
      </c>
      <c r="I7" s="373">
        <v>34138.88629832642</v>
      </c>
      <c r="J7" s="374">
        <f t="shared" si="1"/>
        <v>30139.654418900976</v>
      </c>
    </row>
    <row r="8" spans="1:10" ht="21.75" customHeight="1">
      <c r="A8" s="369" t="str">
        <f>'[5]tank run'!D8</f>
        <v>Gasoline/Gasoline Blend Components</v>
      </c>
      <c r="B8" s="369" t="str">
        <f>'[5]tank run'!F8</f>
        <v>Domed External Floating Roof Tank</v>
      </c>
      <c r="C8" s="369" t="str">
        <f>'[5]tank run'!G8</f>
        <v>299-TK-1502</v>
      </c>
      <c r="D8" s="369" t="str">
        <f>'[5]tank run'!K8</f>
        <v>Olympic Tank Farm</v>
      </c>
      <c r="E8" s="372">
        <f>'[5]tank run'!T8</f>
        <v>925.4177975782906</v>
      </c>
      <c r="F8" s="372">
        <f>'[5]tank run'!U8</f>
        <v>264.04</v>
      </c>
      <c r="G8" s="372">
        <f>'[5]tank run'!V8</f>
        <v>2809.774081847152</v>
      </c>
      <c r="H8" s="373">
        <f t="shared" si="0"/>
        <v>3999.2318794254425</v>
      </c>
      <c r="I8" s="373">
        <v>34138.88629832642</v>
      </c>
      <c r="J8" s="374">
        <f t="shared" si="1"/>
        <v>30139.654418900976</v>
      </c>
    </row>
    <row r="9" spans="1:10" ht="21.75" customHeight="1">
      <c r="A9" s="369" t="str">
        <f>'[5]tank run'!D9</f>
        <v>Gasoline/Gasoline Blend Components</v>
      </c>
      <c r="B9" s="369" t="str">
        <f>'[5]tank run'!F9</f>
        <v>Domed External Floating Roof Tank</v>
      </c>
      <c r="C9" s="369" t="str">
        <f>'[5]tank run'!G9</f>
        <v>299-TK-1503</v>
      </c>
      <c r="D9" s="369" t="str">
        <f>'[5]tank run'!K9</f>
        <v>Olympic Tank Farm</v>
      </c>
      <c r="E9" s="372">
        <f>'[5]tank run'!T9</f>
        <v>925.4177975782906</v>
      </c>
      <c r="F9" s="372">
        <f>'[5]tank run'!U9</f>
        <v>264.04</v>
      </c>
      <c r="G9" s="372">
        <f>'[5]tank run'!V9</f>
        <v>2809.774081847152</v>
      </c>
      <c r="H9" s="373">
        <f t="shared" si="0"/>
        <v>3999.2318794254425</v>
      </c>
      <c r="I9" s="373">
        <v>34138.88629832642</v>
      </c>
      <c r="J9" s="374">
        <f t="shared" si="1"/>
        <v>30139.654418900976</v>
      </c>
    </row>
    <row r="10" spans="1:10" ht="21.75" customHeight="1">
      <c r="A10" s="369" t="str">
        <f>'[5]tank run'!D10</f>
        <v>Gasoline/Gasoline Blend Components</v>
      </c>
      <c r="B10" s="369" t="str">
        <f>'[5]tank run'!F10</f>
        <v>Domed External Floating Roof Tank</v>
      </c>
      <c r="C10" s="369" t="str">
        <f>'[5]tank run'!G10</f>
        <v>299-TK-1504</v>
      </c>
      <c r="D10" s="369" t="str">
        <f>'[5]tank run'!K10</f>
        <v>Olympic Tank Farm</v>
      </c>
      <c r="E10" s="372">
        <f>'[5]tank run'!T10</f>
        <v>925.4177975782906</v>
      </c>
      <c r="F10" s="372">
        <f>'[5]tank run'!U10</f>
        <v>264.04</v>
      </c>
      <c r="G10" s="372">
        <f>'[5]tank run'!V10</f>
        <v>2809.774081847152</v>
      </c>
      <c r="H10" s="373">
        <f t="shared" si="0"/>
        <v>3999.2318794254425</v>
      </c>
      <c r="I10" s="373">
        <v>34138.88629832642</v>
      </c>
      <c r="J10" s="374">
        <f t="shared" si="1"/>
        <v>30139.654418900976</v>
      </c>
    </row>
    <row r="11" spans="1:10" ht="21.75" customHeight="1">
      <c r="A11" s="369" t="str">
        <f>'[5]tank run'!D11</f>
        <v>Organic Liquid/Naphtha</v>
      </c>
      <c r="B11" s="369" t="str">
        <f>'[5]tank run'!F11</f>
        <v>Internal Floating Roof Tank</v>
      </c>
      <c r="C11" s="369" t="str">
        <f>'[5]tank run'!G11</f>
        <v>299-TK-501</v>
      </c>
      <c r="D11" s="369" t="str">
        <f>'[5]tank run'!K11</f>
        <v>Olympic Tank Farm</v>
      </c>
      <c r="E11" s="372">
        <f>'[5]tank run'!T11</f>
        <v>616.9451983855271</v>
      </c>
      <c r="F11" s="372">
        <f>'[5]tank run'!U11</f>
        <v>253.31997599999997</v>
      </c>
      <c r="G11" s="372">
        <f>'[5]tank run'!V11</f>
        <v>13963.526323459097</v>
      </c>
      <c r="H11" s="373">
        <f t="shared" si="0"/>
        <v>14833.791497844624</v>
      </c>
      <c r="I11" s="373">
        <v>14833.791497844624</v>
      </c>
      <c r="J11" s="374">
        <f t="shared" si="1"/>
        <v>0</v>
      </c>
    </row>
    <row r="12" spans="1:10" ht="21.75" customHeight="1">
      <c r="A12" s="369" t="str">
        <f>'[5]tank run'!D12</f>
        <v>Gasoline/Gasoline Blend Components</v>
      </c>
      <c r="B12" s="369" t="str">
        <f>'[5]tank run'!F12</f>
        <v>Internal Floating Roof Tank</v>
      </c>
      <c r="C12" s="369" t="str">
        <f>'[5]tank run'!G12</f>
        <v>299-TK-721</v>
      </c>
      <c r="D12" s="369" t="str">
        <f>'[5]tank run'!K12</f>
        <v>Olympic Tank Farm</v>
      </c>
      <c r="E12" s="372">
        <f>'[5]tank run'!T12</f>
        <v>740.3342380626325</v>
      </c>
      <c r="F12" s="372">
        <f>'[5]tank run'!U12</f>
        <v>140.4912833333333</v>
      </c>
      <c r="G12" s="372">
        <f>'[5]tank run'!V12</f>
        <v>16392.233921103456</v>
      </c>
      <c r="H12" s="373">
        <f t="shared" si="0"/>
        <v>17273.059442499423</v>
      </c>
      <c r="I12" s="373">
        <v>17273.059442499423</v>
      </c>
      <c r="J12" s="374">
        <f t="shared" si="1"/>
        <v>0</v>
      </c>
    </row>
    <row r="13" spans="1:10" ht="21.75" customHeight="1">
      <c r="A13" s="369" t="str">
        <f>'[5]tank run'!D13</f>
        <v>Gasoline/Gasoline Blend Components</v>
      </c>
      <c r="B13" s="369" t="str">
        <f>'[5]tank run'!F13</f>
        <v>Internal Floating Roof Tank</v>
      </c>
      <c r="C13" s="369" t="str">
        <f>'[5]tank run'!G13</f>
        <v>299-TK-722</v>
      </c>
      <c r="D13" s="369" t="str">
        <f>'[5]tank run'!K13</f>
        <v>Olympic Tank Farm</v>
      </c>
      <c r="E13" s="372">
        <f>'[5]tank run'!T13</f>
        <v>740.3342380626325</v>
      </c>
      <c r="F13" s="372">
        <f>'[5]tank run'!U13</f>
        <v>140.4912833333333</v>
      </c>
      <c r="G13" s="372">
        <f>'[5]tank run'!V13</f>
        <v>16392.233921103456</v>
      </c>
      <c r="H13" s="373">
        <f t="shared" si="0"/>
        <v>17273.059442499423</v>
      </c>
      <c r="I13" s="373">
        <v>17273.059442499423</v>
      </c>
      <c r="J13" s="374">
        <f t="shared" si="1"/>
        <v>0</v>
      </c>
    </row>
    <row r="14" spans="1:10" ht="21.75" customHeight="1">
      <c r="A14" s="369" t="str">
        <f>'[5]tank run'!D14</f>
        <v>Gasoline/Gasoline Blend Components</v>
      </c>
      <c r="B14" s="369" t="str">
        <f>'[5]tank run'!F14</f>
        <v>Domed External Floating Roof Tank</v>
      </c>
      <c r="C14" s="369" t="str">
        <f>'[5]tank run'!G14</f>
        <v>82-TK-11</v>
      </c>
      <c r="D14" s="369" t="str">
        <f>'[5]tank run'!K14</f>
        <v>Wilmington Refinery</v>
      </c>
      <c r="E14" s="372">
        <f>'[5]tank run'!T14</f>
        <v>925.4177975782906</v>
      </c>
      <c r="F14" s="372">
        <f>'[5]tank run'!U14</f>
        <v>475.27199999999993</v>
      </c>
      <c r="G14" s="372">
        <f>'[5]tank run'!V14</f>
        <v>2809.774081847152</v>
      </c>
      <c r="H14" s="373">
        <f t="shared" si="0"/>
        <v>4210.463879425442</v>
      </c>
      <c r="I14" s="372">
        <v>34350.118298326415</v>
      </c>
      <c r="J14" s="374">
        <f t="shared" si="1"/>
        <v>30139.654418900973</v>
      </c>
    </row>
    <row r="15" spans="1:10" ht="21.75" customHeight="1">
      <c r="A15" s="369" t="str">
        <f>'[5]tank run'!D15</f>
        <v>Organic Liquid/Naphtha</v>
      </c>
      <c r="B15" s="369" t="str">
        <f>'[5]tank run'!F15</f>
        <v>Domed External Floating Roof Tank</v>
      </c>
      <c r="C15" s="369" t="str">
        <f>'[5]tank run'!G15</f>
        <v>99-TK-21001</v>
      </c>
      <c r="D15" s="369" t="str">
        <f>'[5]tank run'!K15</f>
        <v>Marine Terminal</v>
      </c>
      <c r="E15" s="372">
        <f>'[5]tank run'!T15</f>
        <v>740.3342380626325</v>
      </c>
      <c r="F15" s="372">
        <f>'[5]tank run'!U15</f>
        <v>132.02</v>
      </c>
      <c r="G15" s="372">
        <f>'[5]tank run'!V15</f>
        <v>1598.2993606174384</v>
      </c>
      <c r="H15" s="373">
        <f t="shared" si="0"/>
        <v>2470.653598680071</v>
      </c>
      <c r="I15" s="373">
        <v>31602.466236277236</v>
      </c>
      <c r="J15" s="374">
        <f t="shared" si="1"/>
        <v>29131.812637597166</v>
      </c>
    </row>
  </sheetData>
  <sheetProtection/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&amp;C&amp;"Arial,Bold"&amp;12TABLE A-27
Tank Emissions Calculations</oddHeader>
    <oddFooter>&amp;L&amp;8N:\2105\&amp;F:&amp;A&amp;R&amp;8&amp;D</oddFoot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" sqref="D1:H1"/>
    </sheetView>
  </sheetViews>
  <sheetFormatPr defaultColWidth="9.140625" defaultRowHeight="12.75"/>
  <cols>
    <col min="1" max="1" width="23.28125" style="0" customWidth="1"/>
    <col min="2" max="2" width="10.7109375" style="0" customWidth="1"/>
    <col min="3" max="3" width="10.28125" style="0" customWidth="1"/>
  </cols>
  <sheetData>
    <row r="1" spans="1:8" ht="12.75">
      <c r="A1" s="47"/>
      <c r="B1" s="37"/>
      <c r="C1" s="364"/>
      <c r="D1" s="504" t="s">
        <v>348</v>
      </c>
      <c r="E1" s="504"/>
      <c r="F1" s="504"/>
      <c r="G1" s="504"/>
      <c r="H1" s="505"/>
    </row>
    <row r="2" spans="1:8" ht="12.75">
      <c r="A2" s="124"/>
      <c r="B2" s="27"/>
      <c r="C2" s="115"/>
      <c r="D2" s="336" t="s">
        <v>0</v>
      </c>
      <c r="E2" s="334" t="s">
        <v>1</v>
      </c>
      <c r="F2" s="334" t="s">
        <v>2</v>
      </c>
      <c r="G2" s="334" t="s">
        <v>14</v>
      </c>
      <c r="H2" s="365" t="s">
        <v>3</v>
      </c>
    </row>
    <row r="3" spans="1:8" ht="41.25" customHeight="1" thickBot="1">
      <c r="A3" s="366" t="s">
        <v>187</v>
      </c>
      <c r="B3" s="367" t="s">
        <v>345</v>
      </c>
      <c r="C3" s="368"/>
      <c r="D3" s="117">
        <v>102</v>
      </c>
      <c r="E3" s="96">
        <v>37.5</v>
      </c>
      <c r="F3" s="96">
        <v>469</v>
      </c>
      <c r="G3" s="96">
        <v>7.1</v>
      </c>
      <c r="H3" s="141">
        <v>33.5</v>
      </c>
    </row>
    <row r="4" spans="1:8" ht="26.25">
      <c r="A4" s="17" t="s">
        <v>346</v>
      </c>
      <c r="B4" s="90">
        <v>1</v>
      </c>
      <c r="C4" s="335" t="s">
        <v>339</v>
      </c>
      <c r="D4" s="17">
        <f>D3*$B$4</f>
        <v>102</v>
      </c>
      <c r="E4" s="17">
        <f>E3*$B$4</f>
        <v>37.5</v>
      </c>
      <c r="F4" s="17">
        <f>F3*$B$4</f>
        <v>469</v>
      </c>
      <c r="G4" s="17">
        <f>G3*$B$4</f>
        <v>7.1</v>
      </c>
      <c r="H4" s="17">
        <f>H3*$B$4</f>
        <v>33.5</v>
      </c>
    </row>
    <row r="5" spans="1:8" ht="12.75">
      <c r="A5" s="363" t="s">
        <v>347</v>
      </c>
      <c r="B5" s="157"/>
      <c r="C5" s="157"/>
      <c r="D5" s="157"/>
      <c r="E5" s="157"/>
      <c r="F5" s="157"/>
      <c r="G5" s="157"/>
      <c r="H5" s="157"/>
    </row>
  </sheetData>
  <sheetProtection/>
  <mergeCells count="1">
    <mergeCell ref="D1:H1"/>
  </mergeCells>
  <printOptions horizontalCentered="1"/>
  <pageMargins left="0.75" right="0.75" top="1.5" bottom="1" header="0.5" footer="0.5"/>
  <pageSetup horizontalDpi="400" verticalDpi="400" orientation="portrait" r:id="rId1"/>
  <headerFooter alignWithMargins="0">
    <oddHeader>&amp;C&amp;"Arial,Bold"&amp;12TABLE A-28
Olympic Tank Farm Diesel Fire Water Pump Emissions</oddHeader>
    <oddFooter>&amp;L&amp;8N:\2105\&amp;F:&amp;A&amp;R&amp;8&amp;D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3"/>
      <c r="I2" s="441" t="s">
        <v>2</v>
      </c>
      <c r="J2" s="393"/>
      <c r="K2" s="5" t="s">
        <v>3</v>
      </c>
    </row>
    <row r="3" spans="1:11" ht="57.75" customHeight="1" thickBot="1">
      <c r="A3" s="453"/>
      <c r="B3" s="207" t="s">
        <v>4</v>
      </c>
      <c r="C3" s="216" t="s">
        <v>5</v>
      </c>
      <c r="D3" s="207" t="s">
        <v>6</v>
      </c>
      <c r="E3" s="69" t="s">
        <v>5</v>
      </c>
      <c r="F3" s="69" t="s">
        <v>7</v>
      </c>
      <c r="G3" s="69" t="s">
        <v>8</v>
      </c>
      <c r="H3" s="216" t="s">
        <v>9</v>
      </c>
      <c r="I3" s="207" t="s">
        <v>4</v>
      </c>
      <c r="J3" s="216" t="s">
        <v>5</v>
      </c>
      <c r="K3" s="211" t="s">
        <v>10</v>
      </c>
    </row>
    <row r="4" spans="1:11" ht="13.5" customHeight="1">
      <c r="A4" s="244" t="s">
        <v>112</v>
      </c>
      <c r="B4" s="248">
        <v>8.99</v>
      </c>
      <c r="C4" s="249">
        <v>11.76</v>
      </c>
      <c r="D4" s="248">
        <v>0.54</v>
      </c>
      <c r="E4" s="250">
        <v>1.18</v>
      </c>
      <c r="F4" s="250">
        <v>0.37</v>
      </c>
      <c r="G4" s="250">
        <v>0.17</v>
      </c>
      <c r="H4" s="249">
        <v>0.39</v>
      </c>
      <c r="I4" s="248">
        <v>0.88</v>
      </c>
      <c r="J4" s="249">
        <v>0.72</v>
      </c>
      <c r="K4" s="251">
        <v>0.05</v>
      </c>
    </row>
    <row r="5" spans="1:11" ht="13.5" customHeight="1">
      <c r="A5" s="247" t="s">
        <v>61</v>
      </c>
      <c r="B5" s="252">
        <v>11.28</v>
      </c>
      <c r="C5" s="253">
        <v>13.95</v>
      </c>
      <c r="D5" s="252">
        <v>0.57</v>
      </c>
      <c r="E5" s="254">
        <v>1.25</v>
      </c>
      <c r="F5" s="254">
        <v>0.37</v>
      </c>
      <c r="G5" s="254">
        <v>0.16</v>
      </c>
      <c r="H5" s="253">
        <v>0.34</v>
      </c>
      <c r="I5" s="252">
        <v>1.36</v>
      </c>
      <c r="J5" s="253">
        <v>1.07</v>
      </c>
      <c r="K5" s="255">
        <v>0.07</v>
      </c>
    </row>
    <row r="6" spans="1:11" ht="13.5" customHeight="1" thickBot="1">
      <c r="A6" s="246" t="s">
        <v>62</v>
      </c>
      <c r="B6" s="256">
        <v>48.75</v>
      </c>
      <c r="C6" s="257" t="s">
        <v>11</v>
      </c>
      <c r="D6" s="256">
        <v>1.39</v>
      </c>
      <c r="E6" s="258">
        <v>2.55</v>
      </c>
      <c r="F6" s="258">
        <v>0.09</v>
      </c>
      <c r="G6" s="258" t="s">
        <v>11</v>
      </c>
      <c r="H6" s="257">
        <v>0.11</v>
      </c>
      <c r="I6" s="256">
        <v>19.06</v>
      </c>
      <c r="J6" s="257">
        <v>1.57</v>
      </c>
      <c r="K6" s="259">
        <v>0.61</v>
      </c>
    </row>
    <row r="8" ht="13.5" thickBot="1"/>
    <row r="9" spans="1:12" ht="13.5" thickBot="1">
      <c r="A9" s="72"/>
      <c r="B9" s="441" t="s">
        <v>63</v>
      </c>
      <c r="C9" s="394"/>
      <c r="D9" s="393"/>
      <c r="E9" s="441" t="s">
        <v>64</v>
      </c>
      <c r="F9" s="394"/>
      <c r="G9" s="394"/>
      <c r="H9" s="394"/>
      <c r="I9" s="394"/>
      <c r="J9" s="394"/>
      <c r="K9" s="394"/>
      <c r="L9" s="393"/>
    </row>
    <row r="10" spans="1:12" ht="13.5" thickBot="1">
      <c r="A10" s="50"/>
      <c r="B10" s="481" t="s">
        <v>65</v>
      </c>
      <c r="C10" s="508" t="s">
        <v>66</v>
      </c>
      <c r="D10" s="478" t="s">
        <v>67</v>
      </c>
      <c r="E10" s="441" t="s">
        <v>0</v>
      </c>
      <c r="F10" s="393"/>
      <c r="G10" s="441" t="s">
        <v>1</v>
      </c>
      <c r="H10" s="394"/>
      <c r="I10" s="393"/>
      <c r="J10" s="441" t="s">
        <v>2</v>
      </c>
      <c r="K10" s="393"/>
      <c r="L10" s="8" t="s">
        <v>3</v>
      </c>
    </row>
    <row r="11" spans="1:12" ht="67.5" customHeight="1" thickBot="1">
      <c r="A11" s="55" t="s">
        <v>68</v>
      </c>
      <c r="B11" s="507"/>
      <c r="C11" s="509"/>
      <c r="D11" s="506"/>
      <c r="E11" s="207" t="s">
        <v>69</v>
      </c>
      <c r="F11" s="216" t="s">
        <v>70</v>
      </c>
      <c r="G11" s="207" t="s">
        <v>71</v>
      </c>
      <c r="H11" s="210" t="s">
        <v>72</v>
      </c>
      <c r="I11" s="217" t="s">
        <v>73</v>
      </c>
      <c r="J11" s="207" t="s">
        <v>74</v>
      </c>
      <c r="K11" s="216" t="s">
        <v>70</v>
      </c>
      <c r="L11" s="211" t="s">
        <v>75</v>
      </c>
    </row>
    <row r="12" spans="1:12" s="194" customFormat="1" ht="13.5" customHeight="1">
      <c r="A12" s="244" t="s">
        <v>113</v>
      </c>
      <c r="B12" s="248">
        <v>8</v>
      </c>
      <c r="C12" s="250">
        <f>B12*2</f>
        <v>16</v>
      </c>
      <c r="D12" s="249">
        <v>11.5</v>
      </c>
      <c r="E12" s="260">
        <f>C12*D12*B$4/453.6</f>
        <v>3.6467372134038802</v>
      </c>
      <c r="F12" s="261">
        <f>C12*C$4/453.6</f>
        <v>0.4148148148148148</v>
      </c>
      <c r="G12" s="260">
        <f>C12*D12*(D$4+H$4)/453.6</f>
        <v>0.3772486772486772</v>
      </c>
      <c r="H12" s="262">
        <f>C12*(E$4+F$4)/453.6</f>
        <v>0.054673721340388</v>
      </c>
      <c r="I12" s="261">
        <f>B12*8*G$4/453.6</f>
        <v>0.02398589065255732</v>
      </c>
      <c r="J12" s="260">
        <f>C12*D12*I$4/453.6</f>
        <v>0.3569664902998236</v>
      </c>
      <c r="K12" s="261">
        <f>C12*J$4/453.6</f>
        <v>0.025396825396825393</v>
      </c>
      <c r="L12" s="263">
        <f>C12*D12*K$4/453.6</f>
        <v>0.020282186948853618</v>
      </c>
    </row>
    <row r="13" spans="1:12" s="194" customFormat="1" ht="13.5" customHeight="1">
      <c r="A13" s="236" t="s">
        <v>77</v>
      </c>
      <c r="B13" s="252">
        <v>0</v>
      </c>
      <c r="C13" s="254">
        <f>B13</f>
        <v>0</v>
      </c>
      <c r="D13" s="253">
        <v>10</v>
      </c>
      <c r="E13" s="264">
        <f>C13*D13*B$4/453.6</f>
        <v>0</v>
      </c>
      <c r="F13" s="265">
        <f>C13*C$4/453.6</f>
        <v>0</v>
      </c>
      <c r="G13" s="264">
        <f>C13*D13*(D$4+H$4)/453.6</f>
        <v>0</v>
      </c>
      <c r="H13" s="266">
        <f>C13*(E$4+F$4)/453.6</f>
        <v>0</v>
      </c>
      <c r="I13" s="265">
        <f>B13*8*G$4/453.6</f>
        <v>0</v>
      </c>
      <c r="J13" s="264">
        <f>C13*D13*I$4/453.6</f>
        <v>0</v>
      </c>
      <c r="K13" s="265">
        <f>C13*J$4/453.6</f>
        <v>0</v>
      </c>
      <c r="L13" s="267">
        <f>C13*D13*K$4/453.6</f>
        <v>0</v>
      </c>
    </row>
    <row r="14" spans="1:12" s="194" customFormat="1" ht="13.5" customHeight="1">
      <c r="A14" s="236" t="s">
        <v>61</v>
      </c>
      <c r="B14" s="252">
        <v>0</v>
      </c>
      <c r="C14" s="254">
        <f>B14</f>
        <v>0</v>
      </c>
      <c r="D14" s="253">
        <v>11.5</v>
      </c>
      <c r="E14" s="264">
        <f>C14*D14*B6/453.6</f>
        <v>0</v>
      </c>
      <c r="F14" s="265">
        <f>C14*C5/453.6</f>
        <v>0</v>
      </c>
      <c r="G14" s="264">
        <f>C14*D14*(D6+H6)/453.6</f>
        <v>0</v>
      </c>
      <c r="H14" s="266">
        <f>C14*(E5+F5)/453.6</f>
        <v>0</v>
      </c>
      <c r="I14" s="265">
        <f>B14*8*G5/453.6</f>
        <v>0</v>
      </c>
      <c r="J14" s="264">
        <f>I5*C14*D14/453.6</f>
        <v>0</v>
      </c>
      <c r="K14" s="265">
        <f>J5*C14/453.6</f>
        <v>0</v>
      </c>
      <c r="L14" s="267">
        <f>K5*C14*D14/453.6</f>
        <v>0</v>
      </c>
    </row>
    <row r="15" spans="1:12" ht="13.5" customHeight="1">
      <c r="A15" s="236" t="s">
        <v>114</v>
      </c>
      <c r="B15" s="252">
        <v>0</v>
      </c>
      <c r="C15" s="254">
        <f>B15*2</f>
        <v>0</v>
      </c>
      <c r="D15" s="253">
        <v>50</v>
      </c>
      <c r="E15" s="264">
        <f>C15*D15*B$6/453.6</f>
        <v>0</v>
      </c>
      <c r="F15" s="265" t="s">
        <v>11</v>
      </c>
      <c r="G15" s="264">
        <f>C15*D15*(D$6+H$6)/453.6</f>
        <v>0</v>
      </c>
      <c r="H15" s="266">
        <f>C15*(E6+F6)/453.6</f>
        <v>0</v>
      </c>
      <c r="I15" s="265" t="s">
        <v>11</v>
      </c>
      <c r="J15" s="264">
        <f>C15*D15*I$6/453.6</f>
        <v>0</v>
      </c>
      <c r="K15" s="265">
        <f>J6*C15/453.6</f>
        <v>0</v>
      </c>
      <c r="L15" s="267">
        <f>K$6*C15*D15/453.6</f>
        <v>0</v>
      </c>
    </row>
    <row r="16" spans="1:12" ht="13.5" customHeight="1" thickBot="1">
      <c r="A16" s="246" t="s">
        <v>62</v>
      </c>
      <c r="B16" s="256">
        <v>0</v>
      </c>
      <c r="C16" s="258">
        <v>0</v>
      </c>
      <c r="D16" s="257">
        <v>50</v>
      </c>
      <c r="E16" s="268">
        <f>C16*D16*B$6/453.6</f>
        <v>0</v>
      </c>
      <c r="F16" s="269" t="s">
        <v>11</v>
      </c>
      <c r="G16" s="268">
        <f>C16*D16*(D$6+H$6)/453.6</f>
        <v>0</v>
      </c>
      <c r="H16" s="270">
        <f>C16*(E6+F6)/453.6</f>
        <v>0</v>
      </c>
      <c r="I16" s="269" t="s">
        <v>11</v>
      </c>
      <c r="J16" s="268">
        <f>C16*D16*I$6/453.6</f>
        <v>0</v>
      </c>
      <c r="K16" s="269">
        <f>J6*C16/453.6</f>
        <v>0</v>
      </c>
      <c r="L16" s="271">
        <f>K$6*C16*D16/453.6</f>
        <v>0</v>
      </c>
    </row>
    <row r="17" spans="1:12" ht="13.5" customHeight="1">
      <c r="A17" s="37"/>
      <c r="B17" s="71"/>
      <c r="C17" s="71"/>
      <c r="D17" s="71"/>
      <c r="E17" s="242"/>
      <c r="F17" s="242"/>
      <c r="G17" s="242"/>
      <c r="H17" s="242"/>
      <c r="I17" s="242"/>
      <c r="J17" s="242"/>
      <c r="K17" s="242"/>
      <c r="L17" s="242"/>
    </row>
    <row r="18" spans="1:12" ht="13.5" customHeight="1" thickBot="1">
      <c r="A18" s="56"/>
      <c r="B18" s="123"/>
      <c r="C18" s="123"/>
      <c r="D18" s="123"/>
      <c r="E18" s="176"/>
      <c r="F18" s="176"/>
      <c r="G18" s="176"/>
      <c r="H18" s="176"/>
      <c r="I18" s="176"/>
      <c r="J18" s="176"/>
      <c r="K18" s="176"/>
      <c r="L18" s="176"/>
    </row>
    <row r="19" spans="1:12" ht="13.5" thickBot="1">
      <c r="A19" s="47" t="s">
        <v>68</v>
      </c>
      <c r="B19" s="441" t="s">
        <v>63</v>
      </c>
      <c r="C19" s="394"/>
      <c r="D19" s="393"/>
      <c r="E19" s="392" t="s">
        <v>0</v>
      </c>
      <c r="F19" s="440"/>
      <c r="G19" s="392" t="s">
        <v>1</v>
      </c>
      <c r="H19" s="439"/>
      <c r="I19" s="440"/>
      <c r="J19" s="392" t="s">
        <v>2</v>
      </c>
      <c r="K19" s="440"/>
      <c r="L19" s="74" t="s">
        <v>3</v>
      </c>
    </row>
    <row r="20" spans="1:12" s="194" customFormat="1" ht="27" customHeight="1">
      <c r="A20" s="244" t="s">
        <v>115</v>
      </c>
      <c r="B20" s="202">
        <f>B12+B13</f>
        <v>8</v>
      </c>
      <c r="C20" s="118">
        <f>C12+C13</f>
        <v>16</v>
      </c>
      <c r="D20" s="119"/>
      <c r="E20" s="512">
        <f>E12+F12+E13+F13</f>
        <v>4.061552028218695</v>
      </c>
      <c r="F20" s="513"/>
      <c r="G20" s="241"/>
      <c r="H20" s="239">
        <f>G12+H12+I12+G13+H13+I13</f>
        <v>0.4559082892416225</v>
      </c>
      <c r="I20" s="173"/>
      <c r="J20" s="512">
        <f>J12+K12+J13+K13</f>
        <v>0.382363315696649</v>
      </c>
      <c r="K20" s="513"/>
      <c r="L20" s="215">
        <f>L12+L13</f>
        <v>0.020282186948853618</v>
      </c>
    </row>
    <row r="21" spans="1:12" s="194" customFormat="1" ht="27" customHeight="1">
      <c r="A21" s="236" t="s">
        <v>80</v>
      </c>
      <c r="B21" s="193">
        <f>B14</f>
        <v>0</v>
      </c>
      <c r="C21" s="24">
        <f>C14</f>
        <v>0</v>
      </c>
      <c r="D21" s="188"/>
      <c r="E21" s="510">
        <f>E14+F14</f>
        <v>0</v>
      </c>
      <c r="F21" s="511"/>
      <c r="H21" s="240">
        <f>G14+H14+I14</f>
        <v>0</v>
      </c>
      <c r="I21" s="171"/>
      <c r="J21" s="510">
        <f>J14+K14</f>
        <v>0</v>
      </c>
      <c r="K21" s="511"/>
      <c r="L21" s="172">
        <f>L14</f>
        <v>0</v>
      </c>
    </row>
    <row r="22" spans="1:12" ht="27" customHeight="1" thickBot="1">
      <c r="A22" s="245" t="s">
        <v>81</v>
      </c>
      <c r="B22" s="231">
        <v>0</v>
      </c>
      <c r="C22" s="32">
        <f>+C15+C16</f>
        <v>0</v>
      </c>
      <c r="D22" s="232"/>
      <c r="E22" s="412">
        <f>+E15+E16</f>
        <v>0</v>
      </c>
      <c r="F22" s="418"/>
      <c r="G22" s="412">
        <f>G15+G16+H15+H16</f>
        <v>0</v>
      </c>
      <c r="H22" s="514"/>
      <c r="I22" s="418"/>
      <c r="J22" s="412">
        <f>J16+J15+K15+K16</f>
        <v>0</v>
      </c>
      <c r="K22" s="418"/>
      <c r="L22" s="175">
        <f>L16+L15</f>
        <v>0</v>
      </c>
    </row>
    <row r="23" spans="1:12" ht="17.25" customHeight="1" thickBot="1">
      <c r="A23" s="243" t="s">
        <v>82</v>
      </c>
      <c r="B23" s="122"/>
      <c r="C23" s="237"/>
      <c r="D23" s="238"/>
      <c r="E23" s="392">
        <f>SUM(E20:F22)</f>
        <v>4.061552028218695</v>
      </c>
      <c r="F23" s="393"/>
      <c r="G23" s="392">
        <f>SUM(G20:I22)</f>
        <v>0.4559082892416225</v>
      </c>
      <c r="H23" s="394"/>
      <c r="I23" s="393"/>
      <c r="J23" s="392">
        <f>SUM(J20:K22)</f>
        <v>0.382363315696649</v>
      </c>
      <c r="K23" s="393"/>
      <c r="L23" s="74">
        <f>SUM(L20:L22)</f>
        <v>0.020282186948853618</v>
      </c>
    </row>
    <row r="25" ht="12.75">
      <c r="A25" s="14" t="s">
        <v>118</v>
      </c>
    </row>
    <row r="26" ht="12.75">
      <c r="A26" s="14" t="s">
        <v>119</v>
      </c>
    </row>
    <row r="27" ht="12.75">
      <c r="A27" s="14" t="s">
        <v>120</v>
      </c>
    </row>
    <row r="28" ht="12.75">
      <c r="A28" s="14" t="s">
        <v>121</v>
      </c>
    </row>
    <row r="29" ht="12.75">
      <c r="A29" s="14"/>
    </row>
    <row r="30" spans="1:12" ht="12.75">
      <c r="A30" s="14"/>
      <c r="L30" s="64"/>
    </row>
    <row r="32" ht="12.75">
      <c r="A32" s="14"/>
    </row>
    <row r="33" ht="12.75">
      <c r="L33" s="64"/>
    </row>
  </sheetData>
  <sheetProtection/>
  <mergeCells count="26">
    <mergeCell ref="E23:F23"/>
    <mergeCell ref="G23:I23"/>
    <mergeCell ref="J23:K23"/>
    <mergeCell ref="E22:F22"/>
    <mergeCell ref="G22:I22"/>
    <mergeCell ref="J22:K22"/>
    <mergeCell ref="I2:J2"/>
    <mergeCell ref="E21:F21"/>
    <mergeCell ref="E20:F20"/>
    <mergeCell ref="J20:K20"/>
    <mergeCell ref="J21:K21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B19:D19"/>
    <mergeCell ref="E19:F19"/>
    <mergeCell ref="G19:I19"/>
    <mergeCell ref="J19:K19"/>
  </mergeCells>
  <printOptions horizontalCentered="1"/>
  <pageMargins left="0.75" right="0.75" top="1.5" bottom="0.75" header="0.75" footer="0.5"/>
  <pageSetup firstPageNumber="13" useFirstPageNumber="1" fitToHeight="1" fitToWidth="1" horizontalDpi="600" verticalDpi="600" orientation="landscape" scale="80" r:id="rId1"/>
  <headerFooter alignWithMargins="0">
    <oddHeader xml:space="preserve">&amp;C&amp;"Arial,Bold"&amp;12TABLE A-29
Operational Vehicle and Truck Emissions for the Ultramar Storage Tank and Related Modifications </oddHeader>
    <oddFooter>&amp;L&amp;8N:\2105\&amp;F:&amp;A&amp;R&amp;8&amp;D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64.28125" style="297" customWidth="1"/>
    <col min="2" max="2" width="23.7109375" style="298" customWidth="1"/>
    <col min="3" max="3" width="24.140625" style="299" customWidth="1"/>
    <col min="4" max="4" width="10.28125" style="298" hidden="1" customWidth="1"/>
    <col min="5" max="5" width="9.7109375" style="298" hidden="1" customWidth="1"/>
    <col min="6" max="6" width="14.28125" style="297" hidden="1" customWidth="1"/>
    <col min="7" max="7" width="0.13671875" style="297" hidden="1" customWidth="1"/>
    <col min="8" max="13" width="8.8515625" style="300" customWidth="1"/>
    <col min="14" max="16384" width="8.8515625" style="297" customWidth="1"/>
  </cols>
  <sheetData>
    <row r="1" spans="1:13" s="296" customFormat="1" ht="17.25">
      <c r="A1" s="390" t="s">
        <v>330</v>
      </c>
      <c r="B1" s="390"/>
      <c r="C1" s="390"/>
      <c r="D1" s="390"/>
      <c r="E1" s="390"/>
      <c r="F1" s="390"/>
      <c r="G1" s="390"/>
      <c r="H1" s="295"/>
      <c r="I1" s="295"/>
      <c r="J1" s="295"/>
      <c r="K1" s="295"/>
      <c r="L1" s="295"/>
      <c r="M1" s="295"/>
    </row>
    <row r="2" spans="1:13" s="296" customFormat="1" ht="17.25">
      <c r="A2" s="390" t="s">
        <v>246</v>
      </c>
      <c r="B2" s="390"/>
      <c r="C2" s="390"/>
      <c r="D2" s="390"/>
      <c r="E2" s="390"/>
      <c r="F2" s="390"/>
      <c r="G2" s="390"/>
      <c r="H2" s="295"/>
      <c r="I2" s="295"/>
      <c r="J2" s="295"/>
      <c r="K2" s="295"/>
      <c r="L2" s="295"/>
      <c r="M2" s="295"/>
    </row>
    <row r="3" spans="1:7" ht="27" customHeight="1">
      <c r="A3" s="340"/>
      <c r="B3" s="341"/>
      <c r="C3" s="342"/>
      <c r="D3" s="341"/>
      <c r="E3" s="341"/>
      <c r="F3" s="340"/>
      <c r="G3" s="340"/>
    </row>
    <row r="4" spans="1:13" s="298" customFormat="1" ht="24.75" customHeight="1">
      <c r="A4" s="334" t="s">
        <v>332</v>
      </c>
      <c r="B4" s="144" t="s">
        <v>241</v>
      </c>
      <c r="C4" s="343" t="s">
        <v>331</v>
      </c>
      <c r="D4" s="168" t="s">
        <v>184</v>
      </c>
      <c r="E4" s="168" t="s">
        <v>185</v>
      </c>
      <c r="F4" s="388" t="s">
        <v>186</v>
      </c>
      <c r="G4" s="389"/>
      <c r="H4" s="301"/>
      <c r="I4" s="301"/>
      <c r="J4" s="301"/>
      <c r="K4" s="301"/>
      <c r="L4" s="301"/>
      <c r="M4" s="301"/>
    </row>
    <row r="5" spans="1:7" ht="24.75" customHeight="1">
      <c r="A5" s="110"/>
      <c r="B5" s="168" t="s">
        <v>13</v>
      </c>
      <c r="C5" s="344"/>
      <c r="D5" s="168"/>
      <c r="E5" s="168"/>
      <c r="F5" s="168" t="s">
        <v>38</v>
      </c>
      <c r="G5" s="168" t="s">
        <v>242</v>
      </c>
    </row>
    <row r="6" spans="1:7" ht="24.75" customHeight="1">
      <c r="A6" s="345" t="s">
        <v>333</v>
      </c>
      <c r="B6" s="346" t="s">
        <v>243</v>
      </c>
      <c r="C6" s="347">
        <f>180*180*3/27</f>
        <v>3600</v>
      </c>
      <c r="D6" s="168"/>
      <c r="E6" s="168"/>
      <c r="F6" s="110"/>
      <c r="G6" s="110"/>
    </row>
    <row r="7" spans="1:7" ht="24.75" customHeight="1">
      <c r="A7" s="345" t="s">
        <v>334</v>
      </c>
      <c r="B7" s="346" t="s">
        <v>244</v>
      </c>
      <c r="C7" s="347">
        <f>500*400*3/27</f>
        <v>22222.222222222223</v>
      </c>
      <c r="D7" s="168"/>
      <c r="E7" s="168"/>
      <c r="F7" s="110"/>
      <c r="G7" s="110"/>
    </row>
    <row r="8" spans="1:7" ht="24.75" customHeight="1">
      <c r="A8" s="345" t="s">
        <v>335</v>
      </c>
      <c r="B8" s="346" t="s">
        <v>245</v>
      </c>
      <c r="C8" s="347">
        <f>30*10*0.111111111111111</f>
        <v>33.3333333333333</v>
      </c>
      <c r="D8" s="168"/>
      <c r="E8" s="168"/>
      <c r="F8" s="110"/>
      <c r="G8" s="110"/>
    </row>
    <row r="12" ht="12.75">
      <c r="A12" s="302"/>
    </row>
  </sheetData>
  <sheetProtection/>
  <mergeCells count="3">
    <mergeCell ref="F4:G4"/>
    <mergeCell ref="A1:G1"/>
    <mergeCell ref="A2:G2"/>
  </mergeCells>
  <printOptions horizontalCentered="1"/>
  <pageMargins left="0.75" right="0.25" top="1" bottom="0.5" header="0.5" footer="0.5"/>
  <pageSetup fitToHeight="3" horizontalDpi="600" verticalDpi="600" orientation="landscape" r:id="rId1"/>
  <headerFooter alignWithMargins="0">
    <oddHeader>&amp;C&amp;"Arial,Bold"&amp;12TABLE A-3</oddHeader>
    <oddFooter>&amp;L&amp;8N:\2105\&amp;F:&amp;A&amp;R&amp;8&amp;D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ht="13.5" thickBot="1"/>
    <row r="2" spans="1:10" ht="46.5" customHeight="1" thickBot="1">
      <c r="A2" s="441" t="s">
        <v>45</v>
      </c>
      <c r="B2" s="394"/>
      <c r="C2" s="2"/>
      <c r="D2" s="5" t="s">
        <v>46</v>
      </c>
      <c r="E2" s="6"/>
      <c r="F2" s="6" t="s">
        <v>47</v>
      </c>
      <c r="G2" s="60" t="s">
        <v>48</v>
      </c>
      <c r="H2" s="60" t="s">
        <v>49</v>
      </c>
      <c r="I2" s="59" t="s">
        <v>50</v>
      </c>
      <c r="J2" s="40" t="s">
        <v>51</v>
      </c>
    </row>
    <row r="3" spans="1:10" ht="12.75">
      <c r="A3" s="47"/>
      <c r="B3" s="26"/>
      <c r="C3" s="26"/>
      <c r="D3" s="54"/>
      <c r="E3" s="26"/>
      <c r="F3" s="26"/>
      <c r="G3" s="26"/>
      <c r="H3" s="26"/>
      <c r="I3" s="26"/>
      <c r="J3" s="65"/>
    </row>
    <row r="4" spans="1:10" ht="12.75">
      <c r="A4" s="50" t="s">
        <v>52</v>
      </c>
      <c r="B4" s="26"/>
      <c r="C4" s="26"/>
      <c r="D4" s="54"/>
      <c r="E4" s="26"/>
      <c r="F4" s="26"/>
      <c r="G4" s="26"/>
      <c r="H4" s="26"/>
      <c r="I4" s="26"/>
      <c r="J4" s="66"/>
    </row>
    <row r="5" spans="1:10" ht="12.75">
      <c r="A5" s="50" t="s">
        <v>53</v>
      </c>
      <c r="B5" s="26"/>
      <c r="D5" s="67">
        <v>8</v>
      </c>
      <c r="E5" s="33"/>
      <c r="F5" s="33" t="s">
        <v>54</v>
      </c>
      <c r="G5" s="33">
        <v>2</v>
      </c>
      <c r="H5" s="33">
        <v>11.5</v>
      </c>
      <c r="I5" s="26">
        <v>0.000856</v>
      </c>
      <c r="J5" s="68">
        <f>D5*G5*H5*I5</f>
        <v>0.157504</v>
      </c>
    </row>
    <row r="6" spans="1:10" ht="12.75">
      <c r="A6" s="50" t="s">
        <v>13</v>
      </c>
      <c r="B6" s="26"/>
      <c r="C6" s="26"/>
      <c r="D6" s="54"/>
      <c r="E6" s="26"/>
      <c r="F6" s="26"/>
      <c r="G6" s="26"/>
      <c r="H6" s="26"/>
      <c r="I6" s="26"/>
      <c r="J6" s="66"/>
    </row>
    <row r="7" spans="1:10" ht="12.75">
      <c r="A7" s="50"/>
      <c r="B7" s="26"/>
      <c r="C7" s="26"/>
      <c r="D7" s="54"/>
      <c r="E7" s="26"/>
      <c r="F7" s="26"/>
      <c r="G7" s="26"/>
      <c r="H7" s="26"/>
      <c r="I7" s="26"/>
      <c r="J7" s="66"/>
    </row>
    <row r="8" spans="1:10" ht="12.75">
      <c r="A8" s="50" t="s">
        <v>55</v>
      </c>
      <c r="B8" s="26"/>
      <c r="C8" s="26"/>
      <c r="D8" s="67">
        <v>0</v>
      </c>
      <c r="E8" s="33"/>
      <c r="F8" s="33" t="s">
        <v>54</v>
      </c>
      <c r="G8" s="33">
        <v>2</v>
      </c>
      <c r="H8" s="33">
        <v>11.5</v>
      </c>
      <c r="I8" s="26">
        <v>0.0026</v>
      </c>
      <c r="J8" s="68">
        <f>D8*G8*H8*I8</f>
        <v>0</v>
      </c>
    </row>
    <row r="9" spans="1:10" ht="12.75">
      <c r="A9" s="50" t="s">
        <v>13</v>
      </c>
      <c r="B9" s="26"/>
      <c r="C9" s="26"/>
      <c r="D9" s="54"/>
      <c r="E9" s="26"/>
      <c r="F9" s="26"/>
      <c r="G9" s="26"/>
      <c r="H9" s="26"/>
      <c r="I9" s="26"/>
      <c r="J9" s="66"/>
    </row>
    <row r="10" spans="1:10" ht="12.75">
      <c r="A10" s="50"/>
      <c r="B10" s="26"/>
      <c r="C10" s="26"/>
      <c r="D10" s="54"/>
      <c r="E10" s="26"/>
      <c r="F10" s="26"/>
      <c r="G10" s="26"/>
      <c r="H10" s="26"/>
      <c r="I10" s="26"/>
      <c r="J10" s="66"/>
    </row>
    <row r="11" spans="1:10" ht="12.75">
      <c r="A11" s="50" t="s">
        <v>55</v>
      </c>
      <c r="B11" s="26"/>
      <c r="C11" s="26"/>
      <c r="D11" s="67">
        <v>0</v>
      </c>
      <c r="E11" s="33"/>
      <c r="F11" s="33" t="s">
        <v>56</v>
      </c>
      <c r="G11" s="33">
        <v>2</v>
      </c>
      <c r="H11" s="33">
        <v>20</v>
      </c>
      <c r="I11" s="26">
        <v>0.0206</v>
      </c>
      <c r="J11" s="68">
        <f>D11*G11*H11*I11</f>
        <v>0</v>
      </c>
    </row>
    <row r="12" spans="1:10" ht="12.75">
      <c r="A12" s="50" t="s">
        <v>13</v>
      </c>
      <c r="B12" s="26"/>
      <c r="C12" s="26"/>
      <c r="D12" s="54"/>
      <c r="E12" s="26"/>
      <c r="F12" s="26"/>
      <c r="G12" s="26"/>
      <c r="H12" s="26"/>
      <c r="I12" s="26"/>
      <c r="J12" s="66"/>
    </row>
    <row r="13" spans="1:10" ht="12.75">
      <c r="A13" s="50"/>
      <c r="B13" s="26"/>
      <c r="C13" s="26"/>
      <c r="D13" s="67"/>
      <c r="E13" s="33"/>
      <c r="F13" s="33"/>
      <c r="G13" s="33"/>
      <c r="H13" s="33"/>
      <c r="I13" s="26"/>
      <c r="J13" s="68"/>
    </row>
    <row r="14" spans="1:10" ht="13.5" thickBot="1">
      <c r="A14" s="50" t="s">
        <v>233</v>
      </c>
      <c r="B14" s="26"/>
      <c r="C14" s="26"/>
      <c r="D14" s="67">
        <v>0</v>
      </c>
      <c r="E14" s="33"/>
      <c r="F14" s="33" t="s">
        <v>56</v>
      </c>
      <c r="G14" s="33">
        <v>2</v>
      </c>
      <c r="H14" s="33">
        <v>50</v>
      </c>
      <c r="I14" s="26">
        <v>0.0206</v>
      </c>
      <c r="J14" s="68">
        <f>D14*G14*H14*I14</f>
        <v>0</v>
      </c>
    </row>
    <row r="15" spans="1:10" ht="18.75" customHeight="1" thickBot="1">
      <c r="A15" s="1" t="s">
        <v>12</v>
      </c>
      <c r="B15" s="2"/>
      <c r="C15" s="2"/>
      <c r="D15" s="5">
        <f>SUM(D5:D14)</f>
        <v>8</v>
      </c>
      <c r="E15" s="2"/>
      <c r="F15" s="2"/>
      <c r="G15" s="2"/>
      <c r="H15" s="2"/>
      <c r="I15" s="2"/>
      <c r="J15" s="8">
        <f>SUM(J5:J14)</f>
        <v>0.157504</v>
      </c>
    </row>
    <row r="17" ht="12.75">
      <c r="A17" s="14" t="s">
        <v>58</v>
      </c>
    </row>
    <row r="18" ht="12.75">
      <c r="A18" s="14"/>
    </row>
    <row r="19" ht="12.75">
      <c r="A19" s="14" t="s">
        <v>166</v>
      </c>
    </row>
    <row r="20" spans="1:10" ht="12.75">
      <c r="A20" s="14" t="s">
        <v>167</v>
      </c>
      <c r="B20" s="14"/>
      <c r="J20" s="64"/>
    </row>
    <row r="21" spans="1:2" ht="12.75">
      <c r="A21" s="14" t="s">
        <v>168</v>
      </c>
      <c r="B21" s="14"/>
    </row>
    <row r="22" spans="1:2" ht="12.75">
      <c r="A22" s="14" t="s">
        <v>169</v>
      </c>
      <c r="B22" s="14"/>
    </row>
    <row r="23" spans="1:2" ht="12.75">
      <c r="A23" s="14" t="s">
        <v>170</v>
      </c>
      <c r="B23" s="14"/>
    </row>
    <row r="24" spans="1:2" ht="12.75">
      <c r="A24" s="14"/>
      <c r="B24" s="14"/>
    </row>
    <row r="25" spans="1:2" ht="12.75">
      <c r="A25" s="14" t="s">
        <v>174</v>
      </c>
      <c r="B25" s="14"/>
    </row>
    <row r="26" spans="1:2" ht="12.75">
      <c r="A26" s="14" t="s">
        <v>171</v>
      </c>
      <c r="B26" s="14"/>
    </row>
    <row r="27" ht="12.75">
      <c r="A27" s="14" t="s">
        <v>172</v>
      </c>
    </row>
    <row r="28" ht="12.75">
      <c r="A28" s="14" t="s">
        <v>173</v>
      </c>
    </row>
  </sheetData>
  <sheetProtection/>
  <mergeCells count="1">
    <mergeCell ref="A2:B2"/>
  </mergeCells>
  <printOptions horizontalCentered="1"/>
  <pageMargins left="0.75" right="0.75" top="1.75" bottom="1" header="0.75" footer="0.5"/>
  <pageSetup horizontalDpi="300" verticalDpi="300" orientation="landscape" r:id="rId1"/>
  <headerFooter alignWithMargins="0">
    <oddHeader>&amp;C&amp;"Arial,Bold"&amp;12TABLE A-30
Operational Fugitive Dust Emissions
From Employee Vehicles</oddHeader>
    <oddFooter>&amp;L&amp;8N:\2105\&amp;F:&amp;A&amp;R&amp;8&amp;D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1"/>
  <sheetViews>
    <sheetView zoomScalePageLayoutView="0" workbookViewId="0" topLeftCell="A53">
      <selection activeCell="A1" sqref="A1:H1"/>
    </sheetView>
  </sheetViews>
  <sheetFormatPr defaultColWidth="15.421875" defaultRowHeight="12.75"/>
  <cols>
    <col min="1" max="1" width="14.140625" style="0" customWidth="1"/>
    <col min="2" max="2" width="19.140625" style="0" customWidth="1"/>
    <col min="3" max="3" width="16.8515625" style="0" customWidth="1"/>
    <col min="4" max="4" width="15.421875" style="0" customWidth="1"/>
    <col min="5" max="5" width="12.140625" style="0" customWidth="1"/>
    <col min="6" max="6" width="12.8515625" style="0" customWidth="1"/>
    <col min="7" max="7" width="12.57421875" style="0" customWidth="1"/>
    <col min="8" max="8" width="12.00390625" style="0" customWidth="1"/>
  </cols>
  <sheetData>
    <row r="1" ht="12.75">
      <c r="A1" s="21" t="s">
        <v>255</v>
      </c>
    </row>
    <row r="2" spans="1:8" ht="16.5" customHeight="1">
      <c r="A2" s="306"/>
      <c r="B2" s="519" t="s">
        <v>256</v>
      </c>
      <c r="C2" s="519" t="s">
        <v>257</v>
      </c>
      <c r="D2" s="515" t="s">
        <v>258</v>
      </c>
      <c r="E2" s="516"/>
      <c r="F2" s="516"/>
      <c r="G2" s="516"/>
      <c r="H2" s="517"/>
    </row>
    <row r="3" spans="1:8" ht="12.75">
      <c r="A3" s="17" t="s">
        <v>259</v>
      </c>
      <c r="B3" s="520"/>
      <c r="C3" s="520"/>
      <c r="D3" s="24" t="s">
        <v>2</v>
      </c>
      <c r="E3" s="24" t="s">
        <v>260</v>
      </c>
      <c r="F3" s="24" t="s">
        <v>0</v>
      </c>
      <c r="G3" s="24" t="s">
        <v>261</v>
      </c>
      <c r="H3" s="24" t="s">
        <v>14</v>
      </c>
    </row>
    <row r="4" spans="1:8" ht="12.75">
      <c r="A4" s="20" t="s">
        <v>262</v>
      </c>
      <c r="B4" s="20" t="s">
        <v>263</v>
      </c>
      <c r="C4" s="20" t="s">
        <v>264</v>
      </c>
      <c r="D4" s="20">
        <v>639</v>
      </c>
      <c r="E4" s="20">
        <v>18</v>
      </c>
      <c r="F4" s="20">
        <v>55</v>
      </c>
      <c r="G4" s="20">
        <v>57</v>
      </c>
      <c r="H4" s="20">
        <v>363</v>
      </c>
    </row>
    <row r="5" spans="1:8" ht="12.75">
      <c r="A5" s="20"/>
      <c r="B5" s="20" t="s">
        <v>265</v>
      </c>
      <c r="C5" s="20" t="s">
        <v>264</v>
      </c>
      <c r="D5" s="20">
        <v>64</v>
      </c>
      <c r="E5" s="20">
        <v>2</v>
      </c>
      <c r="F5" s="20">
        <v>7</v>
      </c>
      <c r="G5" s="20">
        <v>57</v>
      </c>
      <c r="H5" s="20">
        <v>363</v>
      </c>
    </row>
    <row r="8" ht="12.75">
      <c r="A8" s="21" t="s">
        <v>266</v>
      </c>
    </row>
    <row r="9" spans="1:8" ht="12.75">
      <c r="A9" s="306"/>
      <c r="B9" s="519" t="s">
        <v>256</v>
      </c>
      <c r="C9" s="519" t="s">
        <v>257</v>
      </c>
      <c r="D9" s="515" t="s">
        <v>267</v>
      </c>
      <c r="E9" s="516"/>
      <c r="F9" s="516"/>
      <c r="G9" s="516"/>
      <c r="H9" s="517"/>
    </row>
    <row r="10" spans="1:8" ht="12.75">
      <c r="A10" s="17" t="s">
        <v>259</v>
      </c>
      <c r="B10" s="520"/>
      <c r="C10" s="520"/>
      <c r="D10" s="24" t="s">
        <v>2</v>
      </c>
      <c r="E10" s="24" t="s">
        <v>260</v>
      </c>
      <c r="F10" s="24" t="s">
        <v>0</v>
      </c>
      <c r="G10" s="24" t="s">
        <v>261</v>
      </c>
      <c r="H10" s="24" t="s">
        <v>14</v>
      </c>
    </row>
    <row r="11" spans="1:8" ht="12.75">
      <c r="A11" s="20" t="s">
        <v>262</v>
      </c>
      <c r="B11" s="20" t="s">
        <v>263</v>
      </c>
      <c r="C11" s="20" t="s">
        <v>264</v>
      </c>
      <c r="D11" s="20">
        <v>639</v>
      </c>
      <c r="E11" s="20">
        <v>19</v>
      </c>
      <c r="F11" s="20">
        <v>58</v>
      </c>
      <c r="G11" s="20">
        <v>57</v>
      </c>
      <c r="H11" s="20">
        <v>363</v>
      </c>
    </row>
    <row r="12" spans="1:8" ht="12.75">
      <c r="A12" s="20"/>
      <c r="B12" s="20" t="s">
        <v>265</v>
      </c>
      <c r="C12" s="20" t="s">
        <v>264</v>
      </c>
      <c r="D12" s="20">
        <v>56</v>
      </c>
      <c r="E12" s="20">
        <v>0.7</v>
      </c>
      <c r="F12" s="20">
        <v>3.5</v>
      </c>
      <c r="G12" s="20">
        <v>20</v>
      </c>
      <c r="H12" s="20">
        <v>363</v>
      </c>
    </row>
    <row r="15" ht="12.75">
      <c r="A15" s="21" t="s">
        <v>268</v>
      </c>
    </row>
    <row r="16" spans="1:8" ht="12.75">
      <c r="A16" s="306"/>
      <c r="B16" s="519" t="s">
        <v>256</v>
      </c>
      <c r="C16" s="519" t="s">
        <v>257</v>
      </c>
      <c r="D16" s="515" t="s">
        <v>269</v>
      </c>
      <c r="E16" s="516"/>
      <c r="F16" s="516"/>
      <c r="G16" s="516"/>
      <c r="H16" s="517"/>
    </row>
    <row r="17" spans="1:8" ht="12.75">
      <c r="A17" s="17" t="s">
        <v>259</v>
      </c>
      <c r="B17" s="520"/>
      <c r="C17" s="520"/>
      <c r="D17" s="24" t="s">
        <v>2</v>
      </c>
      <c r="E17" s="24" t="s">
        <v>260</v>
      </c>
      <c r="F17" s="24" t="s">
        <v>0</v>
      </c>
      <c r="G17" s="24" t="s">
        <v>261</v>
      </c>
      <c r="H17" s="24" t="s">
        <v>14</v>
      </c>
    </row>
    <row r="18" spans="1:8" ht="12.75">
      <c r="A18" s="20" t="s">
        <v>262</v>
      </c>
      <c r="B18" s="20" t="s">
        <v>263</v>
      </c>
      <c r="C18" s="20" t="s">
        <v>270</v>
      </c>
      <c r="D18" s="20">
        <v>14.7</v>
      </c>
      <c r="E18" s="20">
        <v>2.8</v>
      </c>
      <c r="F18" s="20">
        <v>1.6</v>
      </c>
      <c r="G18" s="20">
        <v>0.6</v>
      </c>
      <c r="H18" s="20">
        <v>8</v>
      </c>
    </row>
    <row r="19" spans="1:8" ht="12.75">
      <c r="A19" s="20"/>
      <c r="B19" s="20"/>
      <c r="C19" s="20" t="s">
        <v>271</v>
      </c>
      <c r="D19" s="20">
        <v>2.7</v>
      </c>
      <c r="E19" s="20">
        <v>0.1</v>
      </c>
      <c r="F19" s="20">
        <v>1.1</v>
      </c>
      <c r="G19" s="20">
        <v>0.3</v>
      </c>
      <c r="H19" s="20">
        <v>6.8</v>
      </c>
    </row>
    <row r="20" spans="1:8" ht="12.75">
      <c r="A20" s="20"/>
      <c r="B20" s="20" t="s">
        <v>265</v>
      </c>
      <c r="C20" s="20" t="s">
        <v>264</v>
      </c>
      <c r="D20" s="20">
        <v>19.6</v>
      </c>
      <c r="E20" s="20">
        <v>0.8</v>
      </c>
      <c r="F20" s="20">
        <v>1</v>
      </c>
      <c r="G20" s="20">
        <v>2.7</v>
      </c>
      <c r="H20" s="20">
        <v>20.9</v>
      </c>
    </row>
    <row r="23" ht="12.75">
      <c r="A23" s="21" t="s">
        <v>272</v>
      </c>
    </row>
    <row r="24" spans="2:6" ht="12.75">
      <c r="B24" s="408" t="s">
        <v>273</v>
      </c>
      <c r="C24" s="408"/>
      <c r="D24" s="408"/>
      <c r="E24" s="408"/>
      <c r="F24" s="408"/>
    </row>
    <row r="25" spans="1:6" ht="12.75">
      <c r="A25" s="20" t="s">
        <v>259</v>
      </c>
      <c r="B25" s="24" t="s">
        <v>2</v>
      </c>
      <c r="C25" s="24" t="s">
        <v>260</v>
      </c>
      <c r="D25" s="24" t="s">
        <v>0</v>
      </c>
      <c r="E25" s="24" t="s">
        <v>261</v>
      </c>
      <c r="F25" s="24" t="s">
        <v>14</v>
      </c>
    </row>
    <row r="26" spans="1:6" ht="12.75">
      <c r="A26" s="20" t="s">
        <v>274</v>
      </c>
      <c r="B26" s="20">
        <v>419</v>
      </c>
      <c r="C26" s="20">
        <v>19</v>
      </c>
      <c r="D26" s="20">
        <v>57</v>
      </c>
      <c r="E26" s="20">
        <v>9</v>
      </c>
      <c r="F26" s="20">
        <v>75</v>
      </c>
    </row>
    <row r="29" spans="1:5" ht="12.75">
      <c r="A29" s="25" t="s">
        <v>275</v>
      </c>
      <c r="B29" s="20"/>
      <c r="C29" s="20"/>
      <c r="E29" s="21" t="s">
        <v>276</v>
      </c>
    </row>
    <row r="30" spans="1:8" ht="28.5" customHeight="1">
      <c r="A30" s="20" t="s">
        <v>277</v>
      </c>
      <c r="B30" s="254" t="s">
        <v>278</v>
      </c>
      <c r="C30" s="308" t="s">
        <v>279</v>
      </c>
      <c r="E30" s="308" t="s">
        <v>280</v>
      </c>
      <c r="F30" s="308" t="s">
        <v>281</v>
      </c>
      <c r="G30" s="518" t="s">
        <v>282</v>
      </c>
      <c r="H30" s="518"/>
    </row>
    <row r="31" spans="1:8" ht="12.75">
      <c r="A31" s="20" t="s">
        <v>283</v>
      </c>
      <c r="B31" s="20" t="s">
        <v>284</v>
      </c>
      <c r="C31" s="20">
        <v>483</v>
      </c>
      <c r="E31" s="20">
        <f>483*6.5</f>
        <v>3139.5</v>
      </c>
      <c r="F31" s="20">
        <f>483*2</f>
        <v>966</v>
      </c>
      <c r="G31" s="515">
        <f>E31+F31</f>
        <v>4105.5</v>
      </c>
      <c r="H31" s="517"/>
    </row>
    <row r="32" spans="1:8" ht="12.75">
      <c r="A32" s="20" t="s">
        <v>285</v>
      </c>
      <c r="B32" s="20" t="s">
        <v>284</v>
      </c>
      <c r="C32" s="20">
        <v>1112</v>
      </c>
      <c r="E32" s="20">
        <f>1112*6.5</f>
        <v>7228</v>
      </c>
      <c r="F32" s="20">
        <f>1112*2</f>
        <v>2224</v>
      </c>
      <c r="G32" s="515">
        <f>E32+F32</f>
        <v>9452</v>
      </c>
      <c r="H32" s="517"/>
    </row>
    <row r="33" ht="12.75">
      <c r="A33" t="s">
        <v>286</v>
      </c>
    </row>
    <row r="34" ht="12.75">
      <c r="A34" t="s">
        <v>287</v>
      </c>
    </row>
    <row r="35" ht="12.75">
      <c r="A35" t="s">
        <v>288</v>
      </c>
    </row>
    <row r="36" ht="12.75">
      <c r="A36" t="s">
        <v>289</v>
      </c>
    </row>
    <row r="37" ht="12.75">
      <c r="A37" t="s">
        <v>290</v>
      </c>
    </row>
    <row r="38" ht="12.75">
      <c r="A38" t="s">
        <v>291</v>
      </c>
    </row>
    <row r="41" ht="12.75">
      <c r="A41" s="21" t="s">
        <v>292</v>
      </c>
    </row>
    <row r="42" spans="1:6" ht="12.75">
      <c r="A42" s="20" t="s">
        <v>256</v>
      </c>
      <c r="B42" s="24" t="s">
        <v>2</v>
      </c>
      <c r="C42" s="24" t="s">
        <v>260</v>
      </c>
      <c r="D42" s="24" t="s">
        <v>0</v>
      </c>
      <c r="E42" s="24" t="s">
        <v>261</v>
      </c>
      <c r="F42" s="24" t="s">
        <v>14</v>
      </c>
    </row>
    <row r="43" spans="1:6" ht="12.75">
      <c r="A43" s="20" t="s">
        <v>283</v>
      </c>
      <c r="B43" s="20">
        <f>D4*$E$31/1000</f>
        <v>2006.1405</v>
      </c>
      <c r="C43" s="20">
        <f>E4*$E$31/1000</f>
        <v>56.511</v>
      </c>
      <c r="D43" s="20">
        <f>F4*$E$31/1000</f>
        <v>172.6725</v>
      </c>
      <c r="E43" s="20">
        <f>G4*$E$31/1000</f>
        <v>178.9515</v>
      </c>
      <c r="F43" s="20">
        <f>H4*$E$31/1000</f>
        <v>1139.6385</v>
      </c>
    </row>
    <row r="44" spans="1:6" ht="12.75">
      <c r="A44" s="20" t="s">
        <v>285</v>
      </c>
      <c r="B44" s="20">
        <f>D5*$E$32/1000</f>
        <v>462.592</v>
      </c>
      <c r="C44" s="20">
        <f>E5*$E$32/1000</f>
        <v>14.456</v>
      </c>
      <c r="D44" s="20">
        <f>F5*$E$32/1000</f>
        <v>50.596</v>
      </c>
      <c r="E44" s="20">
        <f>G5*$E$32/1000</f>
        <v>411.996</v>
      </c>
      <c r="F44" s="20">
        <f>H5*$E$32/1000</f>
        <v>2623.764</v>
      </c>
    </row>
    <row r="53" ht="12.75">
      <c r="G53" s="309"/>
    </row>
    <row r="54" ht="12.75">
      <c r="G54" s="310"/>
    </row>
    <row r="55" ht="12.75">
      <c r="G55" s="310"/>
    </row>
    <row r="56" ht="12.75">
      <c r="G56" s="310"/>
    </row>
    <row r="57" spans="6:7" ht="12.75">
      <c r="F57" s="26"/>
      <c r="G57" s="26"/>
    </row>
    <row r="58" spans="6:7" ht="12.75">
      <c r="F58" s="311"/>
      <c r="G58" s="311"/>
    </row>
    <row r="59" ht="12.75">
      <c r="A59" s="312" t="s">
        <v>293</v>
      </c>
    </row>
    <row r="60" ht="12.75">
      <c r="A60" s="21" t="s">
        <v>294</v>
      </c>
    </row>
    <row r="61" spans="1:5" ht="26.25">
      <c r="A61" s="27"/>
      <c r="B61" s="20" t="s">
        <v>295</v>
      </c>
      <c r="C61" s="313" t="s">
        <v>296</v>
      </c>
      <c r="D61" s="24" t="s">
        <v>297</v>
      </c>
      <c r="E61" s="24" t="s">
        <v>12</v>
      </c>
    </row>
    <row r="62" spans="1:5" ht="12.75">
      <c r="A62" s="314" t="s">
        <v>298</v>
      </c>
      <c r="B62" s="315"/>
      <c r="C62" s="315"/>
      <c r="D62" s="315"/>
      <c r="E62" s="315"/>
    </row>
    <row r="63" spans="1:5" ht="12.75">
      <c r="A63" s="20" t="s">
        <v>283</v>
      </c>
      <c r="B63" s="24">
        <v>16</v>
      </c>
      <c r="C63" s="28">
        <f>B63*G$31</f>
        <v>65688</v>
      </c>
      <c r="D63" s="28">
        <f>2*45*B63</f>
        <v>1440</v>
      </c>
      <c r="E63" s="28">
        <f>C63+D63</f>
        <v>67128</v>
      </c>
    </row>
    <row r="64" spans="1:5" ht="12.75">
      <c r="A64" s="20" t="s">
        <v>285</v>
      </c>
      <c r="B64" s="24">
        <v>16</v>
      </c>
      <c r="C64" s="28">
        <f>G$32*B64</f>
        <v>151232</v>
      </c>
      <c r="D64" s="28">
        <f>2*45*B64</f>
        <v>1440</v>
      </c>
      <c r="E64" s="28">
        <f>C64+D64</f>
        <v>152672</v>
      </c>
    </row>
    <row r="65" spans="1:5" ht="12.75">
      <c r="A65" s="20" t="s">
        <v>299</v>
      </c>
      <c r="B65" s="24">
        <f>SUM(B63:B64)</f>
        <v>32</v>
      </c>
      <c r="C65" s="28">
        <f>SUM(C63:C64)</f>
        <v>216920</v>
      </c>
      <c r="D65" s="28">
        <f>SUM(D63:D64)</f>
        <v>2880</v>
      </c>
      <c r="E65" s="28">
        <f>C65+D65</f>
        <v>219800</v>
      </c>
    </row>
    <row r="66" spans="1:5" ht="12.75">
      <c r="A66" s="314" t="s">
        <v>300</v>
      </c>
      <c r="B66" s="315"/>
      <c r="C66" s="315"/>
      <c r="D66" s="315"/>
      <c r="E66" s="315"/>
    </row>
    <row r="67" spans="1:5" ht="12.75">
      <c r="A67" s="20" t="s">
        <v>283</v>
      </c>
      <c r="B67" s="24">
        <v>49</v>
      </c>
      <c r="C67" s="28">
        <f>B67*G$31</f>
        <v>201169.5</v>
      </c>
      <c r="D67" s="28">
        <f>2*45*B67</f>
        <v>4410</v>
      </c>
      <c r="E67" s="28">
        <f>C67+D67</f>
        <v>205579.5</v>
      </c>
    </row>
    <row r="68" spans="1:5" ht="12.75">
      <c r="A68" s="20" t="s">
        <v>285</v>
      </c>
      <c r="B68" s="24">
        <v>48</v>
      </c>
      <c r="C68" s="28">
        <f>G$32*B68</f>
        <v>453696</v>
      </c>
      <c r="D68" s="28">
        <f>2*45*B68</f>
        <v>4320</v>
      </c>
      <c r="E68" s="28">
        <f>C68+D68</f>
        <v>458016</v>
      </c>
    </row>
    <row r="69" spans="1:5" ht="12.75">
      <c r="A69" s="20" t="s">
        <v>299</v>
      </c>
      <c r="B69" s="24">
        <f>SUM(B67:B68)</f>
        <v>97</v>
      </c>
      <c r="C69" s="28">
        <f>SUM(C67:C68)</f>
        <v>654865.5</v>
      </c>
      <c r="D69" s="28">
        <f>SUM(D67:D68)</f>
        <v>8730</v>
      </c>
      <c r="E69" s="28">
        <f>C69+D69</f>
        <v>663595.5</v>
      </c>
    </row>
    <row r="70" spans="1:5" ht="12.75">
      <c r="A70" s="26"/>
      <c r="B70" s="26"/>
      <c r="C70" s="26"/>
      <c r="D70" s="26"/>
      <c r="E70" s="26"/>
    </row>
    <row r="71" spans="1:5" ht="12.75">
      <c r="A71" s="316" t="s">
        <v>301</v>
      </c>
      <c r="B71" s="317">
        <f>B69-B65</f>
        <v>65</v>
      </c>
      <c r="C71" s="311">
        <f>C69-C65</f>
        <v>437945.5</v>
      </c>
      <c r="D71" s="311">
        <f>D69-D65</f>
        <v>5850</v>
      </c>
      <c r="E71" s="311">
        <f>E69-E65</f>
        <v>443795.5</v>
      </c>
    </row>
  </sheetData>
  <sheetProtection/>
  <mergeCells count="13">
    <mergeCell ref="B2:B3"/>
    <mergeCell ref="C2:C3"/>
    <mergeCell ref="D2:H2"/>
    <mergeCell ref="B9:B10"/>
    <mergeCell ref="C9:C10"/>
    <mergeCell ref="D9:H9"/>
    <mergeCell ref="D16:H16"/>
    <mergeCell ref="B24:F24"/>
    <mergeCell ref="G31:H31"/>
    <mergeCell ref="G32:H32"/>
    <mergeCell ref="G30:H30"/>
    <mergeCell ref="B16:B17"/>
    <mergeCell ref="C16:C17"/>
  </mergeCells>
  <printOptions horizontalCentered="1"/>
  <pageMargins left="0.75" right="0.75" top="1.25" bottom="0.75" header="0.75" footer="0.5"/>
  <pageSetup fitToHeight="1" fitToWidth="1" horizontalDpi="600" verticalDpi="600" orientation="landscape" scale="83" r:id="rId1"/>
  <headerFooter alignWithMargins="0">
    <oddHeader>&amp;C&amp;"Arial,Bold"&amp;12TABLE A-31
Emission Factors for Marine Vessels</oddHeader>
    <oddFooter>&amp;L&amp;8N:\2105\&amp;F:&amp;A&amp;R&amp;8&amp;D</oddFooter>
  </headerFooter>
  <rowBreaks count="1" manualBreakCount="1">
    <brk id="4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"/>
  <dimension ref="A1:T82"/>
  <sheetViews>
    <sheetView zoomScalePageLayoutView="0" workbookViewId="0" topLeftCell="A23">
      <selection activeCell="A1" sqref="A1:H1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13.00390625" style="0" customWidth="1"/>
    <col min="4" max="4" width="10.421875" style="0" customWidth="1"/>
    <col min="5" max="5" width="12.421875" style="0" customWidth="1"/>
    <col min="6" max="6" width="7.140625" style="0" customWidth="1"/>
    <col min="7" max="7" width="12.57421875" style="0" customWidth="1"/>
    <col min="8" max="8" width="11.57421875" style="0" customWidth="1"/>
    <col min="9" max="9" width="12.57421875" style="0" customWidth="1"/>
    <col min="10" max="10" width="12.00390625" style="0" customWidth="1"/>
    <col min="11" max="11" width="11.00390625" style="0" customWidth="1"/>
    <col min="12" max="12" width="10.140625" style="0" customWidth="1"/>
    <col min="13" max="13" width="9.8515625" style="0" customWidth="1"/>
    <col min="14" max="15" width="13.7109375" style="0" bestFit="1" customWidth="1"/>
    <col min="19" max="19" width="9.57421875" style="0" bestFit="1" customWidth="1"/>
  </cols>
  <sheetData>
    <row r="1" spans="2:13" ht="12.75">
      <c r="B1" s="21" t="s">
        <v>13</v>
      </c>
      <c r="G1" s="318" t="s">
        <v>302</v>
      </c>
      <c r="H1" s="318"/>
      <c r="I1" s="318"/>
      <c r="J1" s="318"/>
      <c r="K1" s="318"/>
      <c r="L1" s="318"/>
      <c r="M1" s="318"/>
    </row>
    <row r="2" spans="2:13" ht="12.75">
      <c r="B2" s="21" t="s">
        <v>303</v>
      </c>
      <c r="G2" s="27"/>
      <c r="H2" s="20" t="s">
        <v>295</v>
      </c>
      <c r="I2" s="24" t="s">
        <v>2</v>
      </c>
      <c r="J2" s="24" t="s">
        <v>260</v>
      </c>
      <c r="K2" s="24" t="s">
        <v>0</v>
      </c>
      <c r="L2" s="24" t="s">
        <v>261</v>
      </c>
      <c r="M2" s="24" t="s">
        <v>14</v>
      </c>
    </row>
    <row r="3" spans="2:20" ht="12.75">
      <c r="B3" s="20" t="s">
        <v>304</v>
      </c>
      <c r="C3" s="20" t="s">
        <v>305</v>
      </c>
      <c r="D3" s="20" t="s">
        <v>306</v>
      </c>
      <c r="E3" s="20" t="s">
        <v>307</v>
      </c>
      <c r="G3" s="521" t="s">
        <v>298</v>
      </c>
      <c r="H3" s="522"/>
      <c r="I3" s="522"/>
      <c r="J3" s="522"/>
      <c r="K3" s="522"/>
      <c r="L3" s="522"/>
      <c r="M3" s="523"/>
      <c r="P3" s="319"/>
      <c r="Q3" s="319"/>
      <c r="R3" s="319"/>
      <c r="S3" s="319"/>
      <c r="T3" s="319"/>
    </row>
    <row r="4" spans="2:13" ht="12.75">
      <c r="B4" s="17" t="s">
        <v>308</v>
      </c>
      <c r="C4" s="17">
        <v>32</v>
      </c>
      <c r="D4" s="17">
        <v>0</v>
      </c>
      <c r="E4" s="17">
        <v>12</v>
      </c>
      <c r="G4" s="20" t="s">
        <v>283</v>
      </c>
      <c r="H4" s="24">
        <f>currentmotor</f>
        <v>16</v>
      </c>
      <c r="I4" s="28">
        <f>'[6]Ship Emission Assumptions '!B43*$H$4</f>
        <v>32098.248</v>
      </c>
      <c r="J4" s="28">
        <f>'[6]Ship Emission Assumptions '!C43*$H$4</f>
        <v>904.176</v>
      </c>
      <c r="K4" s="28">
        <f>'[6]Ship Emission Assumptions '!D43*$H$4</f>
        <v>2762.76</v>
      </c>
      <c r="L4" s="28">
        <f>'[6]Ship Emission Assumptions '!E43*$H$4</f>
        <v>2863.224</v>
      </c>
      <c r="M4" s="28">
        <f>'[6]Ship Emission Assumptions '!F43*$H$4</f>
        <v>18234.216</v>
      </c>
    </row>
    <row r="5" spans="2:20" ht="12.75">
      <c r="B5" s="20" t="s">
        <v>309</v>
      </c>
      <c r="C5" s="20">
        <v>0</v>
      </c>
      <c r="D5" s="20">
        <v>97</v>
      </c>
      <c r="E5" s="20">
        <v>12</v>
      </c>
      <c r="G5" s="20" t="s">
        <v>285</v>
      </c>
      <c r="H5" s="24">
        <f>currentsteam</f>
        <v>16</v>
      </c>
      <c r="I5" s="28">
        <f>'[6]Ship Emission Assumptions '!B44*$H$5</f>
        <v>7401.472</v>
      </c>
      <c r="J5" s="28">
        <f>'[6]Ship Emission Assumptions '!C44*$H$5</f>
        <v>231.296</v>
      </c>
      <c r="K5" s="28">
        <f>'[6]Ship Emission Assumptions '!D44*$H$5</f>
        <v>809.536</v>
      </c>
      <c r="L5" s="28">
        <f>'[6]Ship Emission Assumptions '!E44*$H$5</f>
        <v>6591.936</v>
      </c>
      <c r="M5" s="28">
        <f>'[6]Ship Emission Assumptions '!F44*$H$5</f>
        <v>41980.224</v>
      </c>
      <c r="P5" s="319"/>
      <c r="Q5" s="319"/>
      <c r="R5" s="319"/>
      <c r="S5" s="319"/>
      <c r="T5" s="319"/>
    </row>
    <row r="6" spans="2:13" ht="12.75">
      <c r="B6" s="20" t="s">
        <v>310</v>
      </c>
      <c r="C6" s="20">
        <v>0</v>
      </c>
      <c r="D6" s="20">
        <v>0</v>
      </c>
      <c r="E6" s="20">
        <v>12</v>
      </c>
      <c r="G6" s="20" t="s">
        <v>299</v>
      </c>
      <c r="H6" s="24">
        <f aca="true" t="shared" si="0" ref="H6:M6">SUM(H4:H5)</f>
        <v>32</v>
      </c>
      <c r="I6" s="28">
        <f t="shared" si="0"/>
        <v>39499.72</v>
      </c>
      <c r="J6" s="28">
        <f t="shared" si="0"/>
        <v>1135.472</v>
      </c>
      <c r="K6" s="28">
        <f t="shared" si="0"/>
        <v>3572.2960000000003</v>
      </c>
      <c r="L6" s="28">
        <f t="shared" si="0"/>
        <v>9455.16</v>
      </c>
      <c r="M6" s="28">
        <f t="shared" si="0"/>
        <v>60214.44</v>
      </c>
    </row>
    <row r="7" spans="2:13" ht="12.75">
      <c r="B7" s="20" t="s">
        <v>299</v>
      </c>
      <c r="C7" s="20">
        <f>SUM(C4:C6)</f>
        <v>32</v>
      </c>
      <c r="D7" s="20">
        <f>SUM(D4:D6)</f>
        <v>97</v>
      </c>
      <c r="E7" s="20"/>
      <c r="G7" s="521" t="s">
        <v>300</v>
      </c>
      <c r="H7" s="522"/>
      <c r="I7" s="522"/>
      <c r="J7" s="522"/>
      <c r="K7" s="522"/>
      <c r="L7" s="522"/>
      <c r="M7" s="523"/>
    </row>
    <row r="8" spans="2:13" ht="12.75">
      <c r="B8" t="s">
        <v>311</v>
      </c>
      <c r="G8" s="20" t="s">
        <v>283</v>
      </c>
      <c r="H8" s="24">
        <f>motor</f>
        <v>49</v>
      </c>
      <c r="I8" s="28">
        <f>'[6]Ship Emission Assumptions '!B43*$H$8</f>
        <v>98300.8845</v>
      </c>
      <c r="J8" s="28">
        <f>'[6]Ship Emission Assumptions '!C43*$H$8</f>
        <v>2769.039</v>
      </c>
      <c r="K8" s="28">
        <f>'[6]Ship Emission Assumptions '!D43*$H$8</f>
        <v>8460.952500000001</v>
      </c>
      <c r="L8" s="28">
        <f>'[6]Ship Emission Assumptions '!E43*$H$8</f>
        <v>8768.6235</v>
      </c>
      <c r="M8" s="28">
        <f>'[6]Ship Emission Assumptions '!F43*$H$8</f>
        <v>55842.2865</v>
      </c>
    </row>
    <row r="9" spans="7:13" ht="12.75">
      <c r="G9" s="20" t="s">
        <v>285</v>
      </c>
      <c r="H9" s="24">
        <f>steam</f>
        <v>48</v>
      </c>
      <c r="I9" s="28">
        <f>'[6]Ship Emission Assumptions '!B44*$H$9</f>
        <v>22204.415999999997</v>
      </c>
      <c r="J9" s="28">
        <f>'[6]Ship Emission Assumptions '!C44*$H$9</f>
        <v>693.8879999999999</v>
      </c>
      <c r="K9" s="28">
        <f>'[6]Ship Emission Assumptions '!D44*$H$9</f>
        <v>2428.6079999999997</v>
      </c>
      <c r="L9" s="28">
        <f>'[6]Ship Emission Assumptions '!E44*$H$9</f>
        <v>19775.807999999997</v>
      </c>
      <c r="M9" s="28">
        <f>'[6]Ship Emission Assumptions '!F44*$H$9</f>
        <v>125940.672</v>
      </c>
    </row>
    <row r="10" spans="7:13" ht="12.75">
      <c r="G10" s="20" t="s">
        <v>299</v>
      </c>
      <c r="H10" s="24">
        <f aca="true" t="shared" si="1" ref="H10:M10">SUM(H8:H9)</f>
        <v>97</v>
      </c>
      <c r="I10" s="28">
        <f t="shared" si="1"/>
        <v>120505.3005</v>
      </c>
      <c r="J10" s="28">
        <f t="shared" si="1"/>
        <v>3462.927</v>
      </c>
      <c r="K10" s="28">
        <f t="shared" si="1"/>
        <v>10889.560500000001</v>
      </c>
      <c r="L10" s="28">
        <f t="shared" si="1"/>
        <v>28544.4315</v>
      </c>
      <c r="M10" s="28">
        <f t="shared" si="1"/>
        <v>181782.9585</v>
      </c>
    </row>
    <row r="11" spans="7:13" ht="9" customHeight="1">
      <c r="G11" s="26"/>
      <c r="H11" s="26"/>
      <c r="I11" s="26"/>
      <c r="J11" s="26"/>
      <c r="K11" s="26"/>
      <c r="L11" s="26"/>
      <c r="M11" s="26"/>
    </row>
    <row r="12" spans="1:13" ht="12.75">
      <c r="A12" s="21" t="str">
        <f>'[6]Ship Emission Assumptions '!A60</f>
        <v>Fuel Consumption per Year, gals</v>
      </c>
      <c r="G12" s="323" t="str">
        <f>IF(H12&gt;0,"Increase","Decrease")</f>
        <v>Increase</v>
      </c>
      <c r="H12" s="320">
        <f aca="true" t="shared" si="2" ref="H12:M12">H10-H6</f>
        <v>65</v>
      </c>
      <c r="I12" s="321">
        <f t="shared" si="2"/>
        <v>81005.5805</v>
      </c>
      <c r="J12" s="321">
        <f t="shared" si="2"/>
        <v>2327.455</v>
      </c>
      <c r="K12" s="321">
        <f t="shared" si="2"/>
        <v>7317.264500000001</v>
      </c>
      <c r="L12" s="321">
        <f t="shared" si="2"/>
        <v>19089.2715</v>
      </c>
      <c r="M12" s="321">
        <f t="shared" si="2"/>
        <v>121568.5185</v>
      </c>
    </row>
    <row r="13" spans="1:5" s="26" customFormat="1" ht="26.25">
      <c r="A13" s="322" t="s">
        <v>256</v>
      </c>
      <c r="B13" s="24" t="str">
        <f>'[6]Ship Emission Assumptions '!B61</f>
        <v>No. Ships</v>
      </c>
      <c r="C13" s="313" t="str">
        <f>'[6]Ship Emission Assumptions '!C61</f>
        <v>Cruising &amp; Maneuvering</v>
      </c>
      <c r="D13" s="24" t="str">
        <f>'[6]Ship Emission Assumptions '!D61</f>
        <v>Tug Boats</v>
      </c>
      <c r="E13" s="24" t="str">
        <f>'[6]Ship Emission Assumptions '!E61</f>
        <v>Total</v>
      </c>
    </row>
    <row r="14" spans="1:13" ht="12.75">
      <c r="A14" s="458" t="str">
        <f>'[6]Ship Emission Assumptions '!A62</f>
        <v>Currently</v>
      </c>
      <c r="B14" s="458"/>
      <c r="C14" s="458"/>
      <c r="D14" s="458"/>
      <c r="E14" s="458"/>
      <c r="G14" s="318" t="s">
        <v>312</v>
      </c>
      <c r="H14" s="318"/>
      <c r="I14" s="318"/>
      <c r="J14" s="318"/>
      <c r="K14" s="318"/>
      <c r="L14" s="318"/>
      <c r="M14" s="318"/>
    </row>
    <row r="15" spans="1:13" ht="12.75">
      <c r="A15" s="20" t="str">
        <f>'[6]Ship Emission Assumptions '!A63</f>
        <v>Motor</v>
      </c>
      <c r="B15" s="20">
        <f>'Ship Emission Assumptions '!B63</f>
        <v>16</v>
      </c>
      <c r="C15" s="20">
        <f>'Ship Emission Assumptions '!C63</f>
        <v>65688</v>
      </c>
      <c r="D15" s="20">
        <f>'Ship Emission Assumptions '!D63</f>
        <v>1440</v>
      </c>
      <c r="E15" s="20">
        <f>'Ship Emission Assumptions '!E63</f>
        <v>67128</v>
      </c>
      <c r="G15" s="26"/>
      <c r="H15" s="20" t="s">
        <v>295</v>
      </c>
      <c r="I15" s="306" t="s">
        <v>2</v>
      </c>
      <c r="J15" s="306" t="s">
        <v>260</v>
      </c>
      <c r="K15" s="306" t="s">
        <v>0</v>
      </c>
      <c r="L15" s="306" t="s">
        <v>261</v>
      </c>
      <c r="M15" s="306" t="s">
        <v>14</v>
      </c>
    </row>
    <row r="16" spans="1:13" ht="12.75">
      <c r="A16" s="20" t="str">
        <f>'[6]Ship Emission Assumptions '!A64</f>
        <v>Steam</v>
      </c>
      <c r="B16" s="20">
        <f>'Ship Emission Assumptions '!B64</f>
        <v>16</v>
      </c>
      <c r="C16" s="20">
        <f>'Ship Emission Assumptions '!C64</f>
        <v>151232</v>
      </c>
      <c r="D16" s="20">
        <f>'Ship Emission Assumptions '!D64</f>
        <v>1440</v>
      </c>
      <c r="E16" s="20">
        <f>'Ship Emission Assumptions '!E64</f>
        <v>152672</v>
      </c>
      <c r="G16" s="521" t="s">
        <v>298</v>
      </c>
      <c r="H16" s="522"/>
      <c r="I16" s="522"/>
      <c r="J16" s="522"/>
      <c r="K16" s="522"/>
      <c r="L16" s="522"/>
      <c r="M16" s="523"/>
    </row>
    <row r="17" spans="1:13" ht="12.75">
      <c r="A17" s="20" t="str">
        <f>'[6]Ship Emission Assumptions '!A65</f>
        <v>Total </v>
      </c>
      <c r="B17" s="20">
        <f>SUM(B15:B16)</f>
        <v>32</v>
      </c>
      <c r="C17" s="20">
        <f>SUM(C15:C16)</f>
        <v>216920</v>
      </c>
      <c r="D17" s="20">
        <f>SUM(D15:D16)</f>
        <v>2880</v>
      </c>
      <c r="E17" s="20">
        <f>SUM(E15:E16)</f>
        <v>219800</v>
      </c>
      <c r="G17" s="20" t="s">
        <v>283</v>
      </c>
      <c r="H17" s="24">
        <f>currentmotor</f>
        <v>16</v>
      </c>
      <c r="I17" s="28">
        <f>'[6]Ship Emission Assumptions '!D11*'[6]Ship Emission Assumptions '!$F$31/1000*$H$17</f>
        <v>9876.384</v>
      </c>
      <c r="J17" s="28">
        <f>'[6]Ship Emission Assumptions '!E11*'[6]Ship Emission Assumptions '!$F$31/1000*$H$17</f>
        <v>293.664</v>
      </c>
      <c r="K17" s="28">
        <f>'[6]Ship Emission Assumptions '!F11*'[6]Ship Emission Assumptions '!$F$31/1000*$H$17</f>
        <v>896.448</v>
      </c>
      <c r="L17" s="28">
        <f>'[6]Ship Emission Assumptions '!G11*'[6]Ship Emission Assumptions '!$F$31/1000*$H$17</f>
        <v>880.992</v>
      </c>
      <c r="M17" s="28">
        <f>'[6]Ship Emission Assumptions '!H11*'[6]Ship Emission Assumptions '!$F$31/1000*$H$17</f>
        <v>5610.528</v>
      </c>
    </row>
    <row r="18" spans="1:13" ht="12.75">
      <c r="A18" s="458" t="str">
        <f>'[6]Ship Emission Assumptions '!A66</f>
        <v>Proposed</v>
      </c>
      <c r="B18" s="458"/>
      <c r="C18" s="458"/>
      <c r="D18" s="458"/>
      <c r="E18" s="458"/>
      <c r="G18" s="20" t="s">
        <v>285</v>
      </c>
      <c r="H18" s="24">
        <f>currentsteam</f>
        <v>16</v>
      </c>
      <c r="I18" s="28">
        <f>'[6]Ship Emission Assumptions '!D12*'[6]Ship Emission Assumptions '!$F$32/1000*$H$18</f>
        <v>1992.704</v>
      </c>
      <c r="J18" s="28">
        <f>'[6]Ship Emission Assumptions '!E12*'[6]Ship Emission Assumptions '!$F$32/1000*$H$18</f>
        <v>24.9088</v>
      </c>
      <c r="K18" s="28">
        <f>'[6]Ship Emission Assumptions '!F12*'[6]Ship Emission Assumptions '!$F$32/1000*$H$18</f>
        <v>124.544</v>
      </c>
      <c r="L18" s="28">
        <f>'[6]Ship Emission Assumptions '!G12*'[6]Ship Emission Assumptions '!$F$32/1000*$H$18</f>
        <v>711.68</v>
      </c>
      <c r="M18" s="28">
        <f>'[6]Ship Emission Assumptions '!H12*'[6]Ship Emission Assumptions '!$F$32/1000*$H$18</f>
        <v>12916.992</v>
      </c>
    </row>
    <row r="19" spans="1:13" ht="12.75">
      <c r="A19" s="20" t="str">
        <f>'[6]Ship Emission Assumptions '!A67</f>
        <v>Motor</v>
      </c>
      <c r="B19" s="20">
        <f>'Ship Emission Assumptions '!B67</f>
        <v>49</v>
      </c>
      <c r="C19" s="20">
        <f>'[6]Ship Emission Assumptions '!C67</f>
        <v>20527.5</v>
      </c>
      <c r="D19" s="20">
        <f>'[6]Ship Emission Assumptions '!D67</f>
        <v>450</v>
      </c>
      <c r="E19" s="20">
        <f>'[6]Ship Emission Assumptions '!E67</f>
        <v>20977.5</v>
      </c>
      <c r="G19" s="20" t="s">
        <v>12</v>
      </c>
      <c r="H19" s="24">
        <f aca="true" t="shared" si="3" ref="H19:M19">SUM(H17:H18)</f>
        <v>32</v>
      </c>
      <c r="I19" s="28">
        <f t="shared" si="3"/>
        <v>11869.088</v>
      </c>
      <c r="J19" s="28">
        <f t="shared" si="3"/>
        <v>318.5728</v>
      </c>
      <c r="K19" s="28">
        <f t="shared" si="3"/>
        <v>1020.992</v>
      </c>
      <c r="L19" s="28">
        <f t="shared" si="3"/>
        <v>1592.672</v>
      </c>
      <c r="M19" s="28">
        <f t="shared" si="3"/>
        <v>18527.52</v>
      </c>
    </row>
    <row r="20" spans="1:13" ht="12.75">
      <c r="A20" s="20" t="str">
        <f>'[6]Ship Emission Assumptions '!A68</f>
        <v>Steam</v>
      </c>
      <c r="B20" s="20">
        <f>'Ship Emission Assumptions '!B68</f>
        <v>48</v>
      </c>
      <c r="C20" s="20">
        <f>'[6]Ship Emission Assumptions '!C68</f>
        <v>37808</v>
      </c>
      <c r="D20" s="20">
        <f>'[6]Ship Emission Assumptions '!D68</f>
        <v>360</v>
      </c>
      <c r="E20" s="20">
        <f>'[6]Ship Emission Assumptions '!E68</f>
        <v>38168</v>
      </c>
      <c r="G20" s="521" t="s">
        <v>300</v>
      </c>
      <c r="H20" s="522"/>
      <c r="I20" s="522"/>
      <c r="J20" s="522"/>
      <c r="K20" s="522"/>
      <c r="L20" s="522"/>
      <c r="M20" s="523"/>
    </row>
    <row r="21" spans="1:13" ht="12.75">
      <c r="A21" s="20" t="str">
        <f>'[6]Ship Emission Assumptions '!A69</f>
        <v>Total </v>
      </c>
      <c r="B21" s="20">
        <f>SUM(B19:B20)</f>
        <v>97</v>
      </c>
      <c r="C21" s="20">
        <f>'[6]Ship Emission Assumptions '!C69</f>
        <v>58335.5</v>
      </c>
      <c r="D21" s="20">
        <f>'[6]Ship Emission Assumptions '!D69</f>
        <v>810</v>
      </c>
      <c r="E21" s="20">
        <f>'[6]Ship Emission Assumptions '!E69</f>
        <v>59145.5</v>
      </c>
      <c r="G21" s="20" t="s">
        <v>283</v>
      </c>
      <c r="H21" s="24">
        <f>motor</f>
        <v>49</v>
      </c>
      <c r="I21" s="29">
        <f>'[6]Ship Emission Assumptions '!D11*'[6]Ship Emission Assumptions '!$F$31/1000*$H$21</f>
        <v>30246.426</v>
      </c>
      <c r="J21" s="29">
        <f>'[6]Ship Emission Assumptions '!E11*'[6]Ship Emission Assumptions '!$F$31/1000*$H$21</f>
        <v>899.346</v>
      </c>
      <c r="K21" s="29">
        <f>'[6]Ship Emission Assumptions '!F11*'[6]Ship Emission Assumptions '!$F$31/1000*$H$21</f>
        <v>2745.372</v>
      </c>
      <c r="L21" s="29">
        <f>'[6]Ship Emission Assumptions '!G11*'[6]Ship Emission Assumptions '!$F$31/1000*$H$21</f>
        <v>2698.038</v>
      </c>
      <c r="M21" s="29">
        <f>'[6]Ship Emission Assumptions '!H11*'[6]Ship Emission Assumptions '!$F$31/1000*$H$21</f>
        <v>17182.242000000002</v>
      </c>
    </row>
    <row r="22" spans="7:13" ht="12.75">
      <c r="G22" s="20" t="s">
        <v>285</v>
      </c>
      <c r="H22" s="24">
        <f>steam</f>
        <v>48</v>
      </c>
      <c r="I22" s="29">
        <f>'[6]Ship Emission Assumptions '!D12*'[6]Ship Emission Assumptions '!$F$32/1000*$H$22</f>
        <v>5978.112</v>
      </c>
      <c r="J22" s="29">
        <f>'[6]Ship Emission Assumptions '!E12*'[6]Ship Emission Assumptions '!$F$32/1000*$H$22</f>
        <v>74.7264</v>
      </c>
      <c r="K22" s="29">
        <f>'[6]Ship Emission Assumptions '!F12*'[6]Ship Emission Assumptions '!$F$32/1000*$H$22</f>
        <v>373.632</v>
      </c>
      <c r="L22" s="29">
        <f>'[6]Ship Emission Assumptions '!G12*'[6]Ship Emission Assumptions '!$F$32/1000*$H$22</f>
        <v>2135.04</v>
      </c>
      <c r="M22" s="29">
        <f>'[6]Ship Emission Assumptions '!H12*'[6]Ship Emission Assumptions '!$F$32/1000*$H$22</f>
        <v>38750.976</v>
      </c>
    </row>
    <row r="23" spans="1:13" ht="12.75">
      <c r="A23" s="323" t="str">
        <f>IF(B23&gt;0,"Increase","Decrease")</f>
        <v>Increase</v>
      </c>
      <c r="B23" s="323">
        <f>B21-B17</f>
        <v>65</v>
      </c>
      <c r="C23" s="323">
        <f>'[6]Ship Emission Assumptions '!C71</f>
        <v>58335.5</v>
      </c>
      <c r="D23" s="323">
        <f>'[6]Ship Emission Assumptions '!D71</f>
        <v>810</v>
      </c>
      <c r="E23" s="323">
        <f>'[6]Ship Emission Assumptions '!E71</f>
        <v>59145.5</v>
      </c>
      <c r="G23" s="20" t="s">
        <v>12</v>
      </c>
      <c r="H23" s="24">
        <f>H21+H22</f>
        <v>97</v>
      </c>
      <c r="I23" s="29">
        <f>SUM(I21:I22)</f>
        <v>36224.538</v>
      </c>
      <c r="J23" s="29">
        <f>SUM(J21:J22)</f>
        <v>974.0724</v>
      </c>
      <c r="K23" s="29">
        <f>SUM(K21:K22)</f>
        <v>3119.004</v>
      </c>
      <c r="L23" s="29">
        <f>SUM(L21:L22)</f>
        <v>4833.0779999999995</v>
      </c>
      <c r="M23" s="29">
        <f>SUM(M21:M22)</f>
        <v>55933.21800000001</v>
      </c>
    </row>
    <row r="24" spans="7:13" ht="9.75" customHeight="1">
      <c r="G24" s="26"/>
      <c r="H24" s="26"/>
      <c r="I24" s="26"/>
      <c r="J24" s="26"/>
      <c r="K24" s="26"/>
      <c r="L24" s="26"/>
      <c r="M24" s="26"/>
    </row>
    <row r="25" spans="7:13" ht="12.75">
      <c r="G25" s="323" t="str">
        <f>IF(H25&gt;0,"Increase","Decrease")</f>
        <v>Increase</v>
      </c>
      <c r="H25" s="320">
        <f aca="true" t="shared" si="4" ref="H25:M25">H23-H19</f>
        <v>65</v>
      </c>
      <c r="I25" s="324">
        <f t="shared" si="4"/>
        <v>24355.45</v>
      </c>
      <c r="J25" s="324">
        <f t="shared" si="4"/>
        <v>655.4996000000001</v>
      </c>
      <c r="K25" s="324">
        <f t="shared" si="4"/>
        <v>2098.0119999999997</v>
      </c>
      <c r="L25" s="324">
        <f t="shared" si="4"/>
        <v>3240.4059999999995</v>
      </c>
      <c r="M25" s="324">
        <f t="shared" si="4"/>
        <v>37405.698000000004</v>
      </c>
    </row>
    <row r="26" spans="4:13" ht="9" customHeight="1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4:13" ht="12.75">
      <c r="D27" s="524" t="s">
        <v>313</v>
      </c>
      <c r="E27" s="524"/>
      <c r="F27" s="524"/>
      <c r="G27" s="524"/>
      <c r="H27" s="524"/>
      <c r="I27" s="524"/>
      <c r="J27" s="524"/>
      <c r="K27" s="524"/>
      <c r="L27" s="524"/>
      <c r="M27" s="524"/>
    </row>
    <row r="28" spans="4:13" ht="52.5">
      <c r="D28" s="322" t="s">
        <v>256</v>
      </c>
      <c r="E28" s="322" t="s">
        <v>314</v>
      </c>
      <c r="F28" s="322" t="s">
        <v>315</v>
      </c>
      <c r="G28" s="322" t="s">
        <v>295</v>
      </c>
      <c r="H28" s="322" t="s">
        <v>316</v>
      </c>
      <c r="I28" s="313" t="s">
        <v>2</v>
      </c>
      <c r="J28" s="313" t="s">
        <v>260</v>
      </c>
      <c r="K28" s="313" t="s">
        <v>0</v>
      </c>
      <c r="L28" s="313" t="s">
        <v>261</v>
      </c>
      <c r="M28" s="313" t="s">
        <v>14</v>
      </c>
    </row>
    <row r="29" spans="4:13" ht="12.75">
      <c r="D29" s="525" t="s">
        <v>317</v>
      </c>
      <c r="E29" s="522"/>
      <c r="F29" s="522"/>
      <c r="G29" s="522"/>
      <c r="H29" s="522"/>
      <c r="I29" s="522"/>
      <c r="J29" s="522"/>
      <c r="K29" s="522"/>
      <c r="L29" s="522"/>
      <c r="M29" s="523"/>
    </row>
    <row r="30" spans="4:13" ht="12.75">
      <c r="D30" s="306" t="s">
        <v>283</v>
      </c>
      <c r="E30" s="31" t="s">
        <v>308</v>
      </c>
      <c r="F30" s="24">
        <v>12</v>
      </c>
      <c r="G30" s="24">
        <f>currentmotor</f>
        <v>16</v>
      </c>
      <c r="H30" s="24">
        <f>F30*G30</f>
        <v>192</v>
      </c>
      <c r="I30" s="28">
        <f>('[6]Ship Emission Assumptions '!D18+'[6]Ship Emission Assumptions '!D19)*$H$30</f>
        <v>3340.7999999999997</v>
      </c>
      <c r="J30" s="28">
        <f>('[6]Ship Emission Assumptions '!E18+'[6]Ship Emission Assumptions '!E19)*$H$30</f>
        <v>556.8</v>
      </c>
      <c r="K30" s="28">
        <f>('[6]Ship Emission Assumptions '!F18+'[6]Ship Emission Assumptions '!F19)*$H$30</f>
        <v>518.4000000000001</v>
      </c>
      <c r="L30" s="28">
        <f>('[6]Ship Emission Assumptions '!G18+'[6]Ship Emission Assumptions '!G19)*$H$30</f>
        <v>172.79999999999998</v>
      </c>
      <c r="M30" s="28">
        <f>('[6]Ship Emission Assumptions '!H18+'[6]Ship Emission Assumptions '!H19)*$H$30</f>
        <v>2841.6000000000004</v>
      </c>
    </row>
    <row r="31" spans="4:13" ht="12.75">
      <c r="D31" s="10"/>
      <c r="E31" s="31" t="s">
        <v>309</v>
      </c>
      <c r="F31" s="24">
        <v>12</v>
      </c>
      <c r="G31" s="24">
        <v>0</v>
      </c>
      <c r="H31" s="24">
        <f>F31*G31</f>
        <v>0</v>
      </c>
      <c r="I31" s="28">
        <f>('[6]Ship Emission Assumptions '!D18+'[6]Ship Emission Assumptions '!D19)*$H$31</f>
        <v>0</v>
      </c>
      <c r="J31" s="28">
        <f>('[6]Ship Emission Assumptions '!E18+'[6]Ship Emission Assumptions '!E19)*$H$31</f>
        <v>0</v>
      </c>
      <c r="K31" s="28">
        <f>('[6]Ship Emission Assumptions '!F18+'[6]Ship Emission Assumptions '!F19)*$H$31</f>
        <v>0</v>
      </c>
      <c r="L31" s="28">
        <f>('[6]Ship Emission Assumptions '!G18+'[6]Ship Emission Assumptions '!G19)*$H$31</f>
        <v>0</v>
      </c>
      <c r="M31" s="28">
        <f>('[6]Ship Emission Assumptions '!H18+'[6]Ship Emission Assumptions '!H19)*$H$31</f>
        <v>0</v>
      </c>
    </row>
    <row r="32" spans="4:13" ht="12.75">
      <c r="D32" s="306" t="s">
        <v>285</v>
      </c>
      <c r="E32" s="31" t="s">
        <v>308</v>
      </c>
      <c r="F32" s="24">
        <v>12</v>
      </c>
      <c r="G32" s="24">
        <f>currentsteam</f>
        <v>16</v>
      </c>
      <c r="H32" s="24">
        <f>F32*G32</f>
        <v>192</v>
      </c>
      <c r="I32" s="28">
        <f>'[6]Ship Emission Assumptions '!D20*$H$32</f>
        <v>3763.2000000000003</v>
      </c>
      <c r="J32" s="28">
        <f>'[6]Ship Emission Assumptions '!E20*$H$32</f>
        <v>153.60000000000002</v>
      </c>
      <c r="K32" s="28">
        <f>'[6]Ship Emission Assumptions '!F20*$H$32</f>
        <v>192</v>
      </c>
      <c r="L32" s="28">
        <f>'[6]Ship Emission Assumptions '!G20*$H$32</f>
        <v>518.4000000000001</v>
      </c>
      <c r="M32" s="28">
        <f>'[6]Ship Emission Assumptions '!H20*$H$32</f>
        <v>4012.7999999999997</v>
      </c>
    </row>
    <row r="33" spans="4:13" ht="12.75">
      <c r="D33" s="17"/>
      <c r="E33" s="325" t="s">
        <v>309</v>
      </c>
      <c r="F33" s="32">
        <v>12</v>
      </c>
      <c r="G33" s="32">
        <v>0</v>
      </c>
      <c r="H33" s="24">
        <f>F33*G33</f>
        <v>0</v>
      </c>
      <c r="I33" s="28">
        <f>'[6]Ship Emission Assumptions '!D20*$H$33</f>
        <v>0</v>
      </c>
      <c r="J33" s="28">
        <f>'[6]Ship Emission Assumptions '!E20*$H$33</f>
        <v>0</v>
      </c>
      <c r="K33" s="28">
        <f>'[6]Ship Emission Assumptions '!F20*$H$33</f>
        <v>0</v>
      </c>
      <c r="L33" s="28">
        <f>'[6]Ship Emission Assumptions '!G20*$H$33</f>
        <v>0</v>
      </c>
      <c r="M33" s="28">
        <f>'[6]Ship Emission Assumptions '!H20*$H$33</f>
        <v>0</v>
      </c>
    </row>
    <row r="34" spans="4:13" ht="12.75">
      <c r="D34" s="326" t="s">
        <v>12</v>
      </c>
      <c r="E34" s="327"/>
      <c r="F34" s="307"/>
      <c r="G34" s="23"/>
      <c r="H34" s="23">
        <f aca="true" t="shared" si="5" ref="H34:M34">SUM(H30:H33)</f>
        <v>384</v>
      </c>
      <c r="I34" s="28">
        <f t="shared" si="5"/>
        <v>7104</v>
      </c>
      <c r="J34" s="28">
        <f t="shared" si="5"/>
        <v>710.4</v>
      </c>
      <c r="K34" s="28">
        <f t="shared" si="5"/>
        <v>710.4000000000001</v>
      </c>
      <c r="L34" s="28">
        <f t="shared" si="5"/>
        <v>691.2</v>
      </c>
      <c r="M34" s="28">
        <f t="shared" si="5"/>
        <v>6854.4</v>
      </c>
    </row>
    <row r="35" spans="4:13" ht="12.75">
      <c r="D35" s="526" t="s">
        <v>300</v>
      </c>
      <c r="E35" s="527"/>
      <c r="F35" s="527"/>
      <c r="G35" s="527"/>
      <c r="H35" s="522"/>
      <c r="I35" s="522"/>
      <c r="J35" s="522"/>
      <c r="K35" s="522"/>
      <c r="L35" s="522"/>
      <c r="M35" s="523"/>
    </row>
    <row r="36" spans="4:13" ht="12.75">
      <c r="D36" s="306" t="s">
        <v>283</v>
      </c>
      <c r="E36" s="31" t="s">
        <v>309</v>
      </c>
      <c r="F36" s="24">
        <v>24</v>
      </c>
      <c r="G36" s="24">
        <f>motor</f>
        <v>49</v>
      </c>
      <c r="H36" s="24">
        <f>F36*G36</f>
        <v>1176</v>
      </c>
      <c r="I36" s="28">
        <f>('[6]Ship Emission Assumptions '!D18+'[6]Ship Emission Assumptions '!D19)*$H$36</f>
        <v>20462.399999999998</v>
      </c>
      <c r="J36" s="28">
        <f>('[6]Ship Emission Assumptions '!E18+'[6]Ship Emission Assumptions '!E19)*$H$36</f>
        <v>3410.4</v>
      </c>
      <c r="K36" s="28">
        <f>('[6]Ship Emission Assumptions '!F18+'[6]Ship Emission Assumptions '!F19)*$H$36</f>
        <v>3175.2000000000003</v>
      </c>
      <c r="L36" s="28">
        <f>('[6]Ship Emission Assumptions '!G18+'[6]Ship Emission Assumptions '!G19)*$H$36</f>
        <v>1058.3999999999999</v>
      </c>
      <c r="M36" s="28">
        <f>('[6]Ship Emission Assumptions '!H18+'[6]Ship Emission Assumptions '!H19)*$H$36</f>
        <v>17404.8</v>
      </c>
    </row>
    <row r="37" spans="4:13" ht="12.75">
      <c r="D37" s="17"/>
      <c r="E37" s="31" t="s">
        <v>310</v>
      </c>
      <c r="F37" s="24">
        <v>0</v>
      </c>
      <c r="G37" s="24">
        <v>0</v>
      </c>
      <c r="H37" s="24">
        <f>F37*G37</f>
        <v>0</v>
      </c>
      <c r="I37" s="28">
        <f>('[6]Ship Emission Assumptions '!D18+'[6]Ship Emission Assumptions '!D19)*$H$37</f>
        <v>0</v>
      </c>
      <c r="J37" s="28">
        <f>('[6]Ship Emission Assumptions '!E18+'[6]Ship Emission Assumptions '!E19)*$H$37</f>
        <v>0</v>
      </c>
      <c r="K37" s="28">
        <f>('[6]Ship Emission Assumptions '!F18+'[6]Ship Emission Assumptions '!F19)*$H$37</f>
        <v>0</v>
      </c>
      <c r="L37" s="28">
        <f>('[6]Ship Emission Assumptions '!G18+'[6]Ship Emission Assumptions '!G19)*$H$37</f>
        <v>0</v>
      </c>
      <c r="M37" s="28">
        <f>('[6]Ship Emission Assumptions '!H18+'[6]Ship Emission Assumptions '!H19)*$H$37</f>
        <v>0</v>
      </c>
    </row>
    <row r="38" spans="4:13" ht="12.75">
      <c r="D38" s="10" t="s">
        <v>285</v>
      </c>
      <c r="E38" s="31" t="s">
        <v>309</v>
      </c>
      <c r="F38" s="24">
        <v>24</v>
      </c>
      <c r="G38" s="24">
        <f>steam</f>
        <v>48</v>
      </c>
      <c r="H38" s="24">
        <f>F38*G38</f>
        <v>1152</v>
      </c>
      <c r="I38" s="28">
        <f>'[6]Ship Emission Assumptions '!D20*$H$38</f>
        <v>22579.2</v>
      </c>
      <c r="J38" s="28">
        <f>'[6]Ship Emission Assumptions '!E20*$H$38</f>
        <v>921.6</v>
      </c>
      <c r="K38" s="28">
        <f>'[6]Ship Emission Assumptions '!F20*$H$38</f>
        <v>1152</v>
      </c>
      <c r="L38" s="28">
        <f>'[6]Ship Emission Assumptions '!G20*$H$38</f>
        <v>3110.4</v>
      </c>
      <c r="M38" s="28">
        <f>'[6]Ship Emission Assumptions '!H20*$H$38</f>
        <v>24076.8</v>
      </c>
    </row>
    <row r="39" spans="4:13" ht="12.75">
      <c r="D39" s="17"/>
      <c r="E39" s="31" t="s">
        <v>310</v>
      </c>
      <c r="F39" s="24">
        <v>0</v>
      </c>
      <c r="G39" s="24">
        <v>0</v>
      </c>
      <c r="H39" s="24">
        <f>F39*G39</f>
        <v>0</v>
      </c>
      <c r="I39" s="28">
        <f>'[6]Ship Emission Assumptions '!D20*$H$39</f>
        <v>0</v>
      </c>
      <c r="J39" s="28">
        <f>'[6]Ship Emission Assumptions '!E20*$H$39</f>
        <v>0</v>
      </c>
      <c r="K39" s="28">
        <f>'[6]Ship Emission Assumptions '!F20*$H$39</f>
        <v>0</v>
      </c>
      <c r="L39" s="28">
        <f>'[6]Ship Emission Assumptions '!G20*$H$39</f>
        <v>0</v>
      </c>
      <c r="M39" s="28">
        <f>'[6]Ship Emission Assumptions '!H20*$H$39</f>
        <v>0</v>
      </c>
    </row>
    <row r="40" spans="4:13" ht="12.75">
      <c r="D40" s="20" t="s">
        <v>12</v>
      </c>
      <c r="E40" s="20"/>
      <c r="F40" s="24"/>
      <c r="G40" s="24">
        <f>SUM(G36:G39)</f>
        <v>97</v>
      </c>
      <c r="H40" s="24">
        <f aca="true" t="shared" si="6" ref="H40:M40">SUM(H36:H39)</f>
        <v>2328</v>
      </c>
      <c r="I40" s="28">
        <f t="shared" si="6"/>
        <v>43041.6</v>
      </c>
      <c r="J40" s="28">
        <f t="shared" si="6"/>
        <v>4332</v>
      </c>
      <c r="K40" s="28">
        <f t="shared" si="6"/>
        <v>4327.200000000001</v>
      </c>
      <c r="L40" s="28">
        <f t="shared" si="6"/>
        <v>4168.8</v>
      </c>
      <c r="M40" s="28">
        <f t="shared" si="6"/>
        <v>41481.6</v>
      </c>
    </row>
    <row r="41" spans="4:13" ht="12.75">
      <c r="D41" s="26"/>
      <c r="E41" s="26"/>
      <c r="F41" s="26"/>
      <c r="G41" s="26"/>
      <c r="H41" s="26"/>
      <c r="I41" s="328"/>
      <c r="J41" s="328"/>
      <c r="K41" s="328"/>
      <c r="L41" s="328"/>
      <c r="M41" s="328"/>
    </row>
    <row r="42" spans="4:13" ht="12.75">
      <c r="D42" s="323" t="str">
        <f>IF(I42&gt;0,"Increase","Decrease")</f>
        <v>Increase</v>
      </c>
      <c r="E42" s="26"/>
      <c r="F42" s="26"/>
      <c r="G42" s="26"/>
      <c r="H42" s="33">
        <f aca="true" t="shared" si="7" ref="H42:M42">H40-H34</f>
        <v>1944</v>
      </c>
      <c r="I42" s="310">
        <f t="shared" si="7"/>
        <v>35937.6</v>
      </c>
      <c r="J42" s="310">
        <f t="shared" si="7"/>
        <v>3621.6</v>
      </c>
      <c r="K42" s="310">
        <f t="shared" si="7"/>
        <v>3616.8000000000006</v>
      </c>
      <c r="L42" s="310">
        <f t="shared" si="7"/>
        <v>3477.6000000000004</v>
      </c>
      <c r="M42" s="310">
        <f t="shared" si="7"/>
        <v>34627.2</v>
      </c>
    </row>
    <row r="43" spans="2:13" ht="12.75">
      <c r="B43" s="329" t="s">
        <v>318</v>
      </c>
      <c r="C43" s="26"/>
      <c r="D43" s="26"/>
      <c r="E43" s="26"/>
      <c r="F43" s="33"/>
      <c r="G43" s="310"/>
      <c r="H43" s="310"/>
      <c r="I43" s="310"/>
      <c r="J43" s="310"/>
      <c r="K43" s="310"/>
      <c r="L43" s="310"/>
      <c r="M43" s="310"/>
    </row>
    <row r="44" spans="2:11" ht="39">
      <c r="B44" s="330"/>
      <c r="C44" s="31" t="s">
        <v>319</v>
      </c>
      <c r="D44" s="313" t="s">
        <v>320</v>
      </c>
      <c r="E44" s="313" t="s">
        <v>321</v>
      </c>
      <c r="F44" s="313" t="s">
        <v>322</v>
      </c>
      <c r="G44" s="313" t="s">
        <v>2</v>
      </c>
      <c r="H44" s="313" t="s">
        <v>260</v>
      </c>
      <c r="I44" s="313" t="s">
        <v>0</v>
      </c>
      <c r="J44" s="313" t="s">
        <v>261</v>
      </c>
      <c r="K44" s="313" t="s">
        <v>14</v>
      </c>
    </row>
    <row r="45" spans="2:11" ht="12.75">
      <c r="B45" s="521" t="s">
        <v>323</v>
      </c>
      <c r="C45" s="522"/>
      <c r="D45" s="522"/>
      <c r="E45" s="522"/>
      <c r="F45" s="522"/>
      <c r="G45" s="522"/>
      <c r="H45" s="522"/>
      <c r="I45" s="522"/>
      <c r="J45" s="522"/>
      <c r="K45" s="523"/>
    </row>
    <row r="46" spans="2:11" ht="12.75">
      <c r="B46" s="20" t="s">
        <v>324</v>
      </c>
      <c r="C46" s="24">
        <v>24</v>
      </c>
      <c r="D46" s="24">
        <v>2</v>
      </c>
      <c r="E46" s="24">
        <v>1</v>
      </c>
      <c r="F46" s="24">
        <v>48</v>
      </c>
      <c r="G46" s="28">
        <v>817</v>
      </c>
      <c r="H46" s="28">
        <v>37</v>
      </c>
      <c r="I46" s="28">
        <v>111</v>
      </c>
      <c r="J46" s="28">
        <v>18</v>
      </c>
      <c r="K46" s="28">
        <v>146</v>
      </c>
    </row>
    <row r="47" spans="2:11" ht="12.75">
      <c r="B47" s="20" t="s">
        <v>325</v>
      </c>
      <c r="C47" s="20"/>
      <c r="D47" s="20"/>
      <c r="E47" s="20"/>
      <c r="F47" s="24"/>
      <c r="G47" s="28">
        <f>ROUND(G46/$F46,2)</f>
        <v>17.02</v>
      </c>
      <c r="H47" s="28">
        <f>ROUND(H46/$F46,2)</f>
        <v>0.77</v>
      </c>
      <c r="I47" s="28">
        <f>ROUND(I46/$F46,2)</f>
        <v>2.31</v>
      </c>
      <c r="J47" s="28">
        <f>ROUND(J46/$F46,2)</f>
        <v>0.38</v>
      </c>
      <c r="K47" s="28">
        <f>ROUND(K46/$F46,2)</f>
        <v>3.04</v>
      </c>
    </row>
    <row r="48" spans="2:11" ht="12.75">
      <c r="B48" s="521" t="s">
        <v>326</v>
      </c>
      <c r="C48" s="522"/>
      <c r="D48" s="522"/>
      <c r="E48" s="522"/>
      <c r="F48" s="522"/>
      <c r="G48" s="522"/>
      <c r="H48" s="522"/>
      <c r="I48" s="522"/>
      <c r="J48" s="522"/>
      <c r="K48" s="523"/>
    </row>
    <row r="49" spans="2:11" ht="12.75">
      <c r="B49" s="20" t="s">
        <v>324</v>
      </c>
      <c r="C49" s="24">
        <f>currentmotor+currentsteam</f>
        <v>32</v>
      </c>
      <c r="D49" s="24">
        <v>2</v>
      </c>
      <c r="E49" s="24">
        <v>2</v>
      </c>
      <c r="F49" s="24">
        <f>C49*D49</f>
        <v>64</v>
      </c>
      <c r="G49" s="28">
        <f>G$47*$E49*$F49</f>
        <v>2178.56</v>
      </c>
      <c r="H49" s="28">
        <f>H47*$E49*$F49</f>
        <v>98.56</v>
      </c>
      <c r="I49" s="28">
        <f>I47*$E49*$F49</f>
        <v>295.68</v>
      </c>
      <c r="J49" s="28">
        <f>J47*$E49*$F49</f>
        <v>48.64</v>
      </c>
      <c r="K49" s="28">
        <f>K47*$E49*$F49</f>
        <v>389.12</v>
      </c>
    </row>
    <row r="50" spans="2:11" ht="12.75">
      <c r="B50" s="521" t="s">
        <v>327</v>
      </c>
      <c r="C50" s="522"/>
      <c r="D50" s="522"/>
      <c r="E50" s="522"/>
      <c r="F50" s="522"/>
      <c r="G50" s="522"/>
      <c r="H50" s="522"/>
      <c r="I50" s="522"/>
      <c r="J50" s="522"/>
      <c r="K50" s="523"/>
    </row>
    <row r="51" spans="2:11" ht="12.75">
      <c r="B51" s="20" t="s">
        <v>324</v>
      </c>
      <c r="C51" s="24">
        <f>motor+steam</f>
        <v>97</v>
      </c>
      <c r="D51" s="24">
        <v>2</v>
      </c>
      <c r="E51" s="24">
        <v>2</v>
      </c>
      <c r="F51" s="24">
        <f>C51*D51</f>
        <v>194</v>
      </c>
      <c r="G51" s="28">
        <f>G$47*$E51*$F51</f>
        <v>6603.76</v>
      </c>
      <c r="H51" s="28">
        <f>H$47*$E51*$F51</f>
        <v>298.76</v>
      </c>
      <c r="I51" s="28">
        <f>I$47*$E51*$F51</f>
        <v>896.28</v>
      </c>
      <c r="J51" s="28">
        <f>J$47*$E51*$F51</f>
        <v>147.44</v>
      </c>
      <c r="K51" s="28">
        <f>K$47*$E51*$F51</f>
        <v>1179.52</v>
      </c>
    </row>
    <row r="52" spans="2:11" ht="12.75">
      <c r="B52" s="26"/>
      <c r="C52" s="26"/>
      <c r="D52" s="26"/>
      <c r="E52" s="26"/>
      <c r="F52" s="33"/>
      <c r="G52" s="310"/>
      <c r="H52" s="310"/>
      <c r="I52" s="310"/>
      <c r="J52" s="310"/>
      <c r="K52" s="310"/>
    </row>
    <row r="53" spans="2:11" ht="12.75">
      <c r="B53" s="323" t="str">
        <f>IF(G53&gt;0,"Increase","Decrease")</f>
        <v>Increase</v>
      </c>
      <c r="C53" s="34"/>
      <c r="D53" s="34"/>
      <c r="E53" s="34"/>
      <c r="F53" s="331"/>
      <c r="G53" s="332">
        <f>G51-G49</f>
        <v>4425.200000000001</v>
      </c>
      <c r="H53" s="332">
        <f>H51-H49</f>
        <v>200.2</v>
      </c>
      <c r="I53" s="332">
        <f>I51-I49</f>
        <v>600.5999999999999</v>
      </c>
      <c r="J53" s="332">
        <f>J51-J49</f>
        <v>98.8</v>
      </c>
      <c r="K53" s="332">
        <f>K51-K49</f>
        <v>790.4</v>
      </c>
    </row>
    <row r="54" spans="2:11" ht="12.75">
      <c r="B54" s="26"/>
      <c r="C54" s="26"/>
      <c r="D54" s="26"/>
      <c r="E54" s="26"/>
      <c r="F54" s="33"/>
      <c r="G54" s="310"/>
      <c r="H54" s="310"/>
      <c r="I54" s="310"/>
      <c r="J54" s="310"/>
      <c r="K54" s="310"/>
    </row>
    <row r="55" spans="2:11" ht="12.75">
      <c r="B55" s="329" t="s">
        <v>328</v>
      </c>
      <c r="C55" s="26"/>
      <c r="D55" s="26"/>
      <c r="E55" s="26"/>
      <c r="F55" s="33"/>
      <c r="G55" s="333">
        <f>I42+I25+I12+G53</f>
        <v>145723.8305</v>
      </c>
      <c r="H55" s="333">
        <f>J42+J25+J12+H53</f>
        <v>6804.754599999999</v>
      </c>
      <c r="I55" s="333">
        <f>K42+K25+K12+I53</f>
        <v>13632.676500000001</v>
      </c>
      <c r="J55" s="333">
        <f>L42+L25+L12+J53</f>
        <v>25906.077499999996</v>
      </c>
      <c r="K55" s="333">
        <f>M42+M25+M12+K53</f>
        <v>194391.8165</v>
      </c>
    </row>
    <row r="56" spans="2:11" ht="12.75">
      <c r="B56" s="329" t="s">
        <v>329</v>
      </c>
      <c r="C56" s="26"/>
      <c r="D56" s="26"/>
      <c r="E56" s="26"/>
      <c r="F56" s="33"/>
      <c r="G56" s="333">
        <f>G55/$H25</f>
        <v>2241.9050846153846</v>
      </c>
      <c r="H56" s="333">
        <f>H55/$H25</f>
        <v>104.6885323076923</v>
      </c>
      <c r="I56" s="333">
        <f>I55/$H25</f>
        <v>209.73348461538464</v>
      </c>
      <c r="J56" s="333">
        <f>J55/$H25</f>
        <v>398.5550384615384</v>
      </c>
      <c r="K56" s="333">
        <f>K55/$H25</f>
        <v>2990.6433307692305</v>
      </c>
    </row>
    <row r="58" ht="12.75">
      <c r="A58" s="14"/>
    </row>
    <row r="59" ht="12.75">
      <c r="C59" s="21" t="s">
        <v>359</v>
      </c>
    </row>
    <row r="60" spans="3:11" ht="12.75">
      <c r="C60" s="376"/>
      <c r="D60" s="377"/>
      <c r="E60" s="377"/>
      <c r="F60" s="325"/>
      <c r="G60" s="313" t="s">
        <v>2</v>
      </c>
      <c r="H60" s="313" t="s">
        <v>260</v>
      </c>
      <c r="I60" s="313" t="s">
        <v>0</v>
      </c>
      <c r="J60" s="313" t="s">
        <v>261</v>
      </c>
      <c r="K60" s="313" t="s">
        <v>14</v>
      </c>
    </row>
    <row r="61" spans="3:11" ht="12.75">
      <c r="C61" s="378"/>
      <c r="D61" s="26"/>
      <c r="E61" s="26"/>
      <c r="F61" s="379"/>
      <c r="G61" s="521" t="s">
        <v>317</v>
      </c>
      <c r="H61" s="522"/>
      <c r="I61" s="522"/>
      <c r="J61" s="522"/>
      <c r="K61" s="523"/>
    </row>
    <row r="62" spans="2:11" ht="12.75">
      <c r="B62" s="14"/>
      <c r="C62" s="380"/>
      <c r="D62" s="381"/>
      <c r="E62" s="381"/>
      <c r="F62" s="382" t="s">
        <v>360</v>
      </c>
      <c r="G62" s="319">
        <f>+I34/32</f>
        <v>222</v>
      </c>
      <c r="H62" s="319">
        <f>+J34/32</f>
        <v>22.2</v>
      </c>
      <c r="I62" s="319">
        <f>+K34/32</f>
        <v>22.200000000000003</v>
      </c>
      <c r="J62" s="319">
        <f>+L34/32</f>
        <v>21.6</v>
      </c>
      <c r="K62" s="319">
        <f>+M34/32</f>
        <v>214.2</v>
      </c>
    </row>
    <row r="63" spans="2:11" ht="12.75">
      <c r="B63" s="14"/>
      <c r="C63" s="380"/>
      <c r="D63" s="381"/>
      <c r="E63" s="381"/>
      <c r="F63" s="382" t="s">
        <v>361</v>
      </c>
      <c r="G63" s="319">
        <f>+(I19+I6)/32</f>
        <v>1605.2752500000001</v>
      </c>
      <c r="H63" s="319">
        <f>+(J19+J6)/32</f>
        <v>45.4389</v>
      </c>
      <c r="I63" s="319">
        <f>+(K19+K6)/32</f>
        <v>143.54025000000001</v>
      </c>
      <c r="J63" s="319">
        <f>+(L19+L6)/32</f>
        <v>345.24475</v>
      </c>
      <c r="K63" s="319">
        <f>+(M19+M6)/32</f>
        <v>2460.68625</v>
      </c>
    </row>
    <row r="64" spans="2:11" ht="12.75">
      <c r="B64" s="14"/>
      <c r="C64" s="380"/>
      <c r="D64" s="381"/>
      <c r="E64" s="381"/>
      <c r="F64" s="382" t="s">
        <v>362</v>
      </c>
      <c r="G64" s="319">
        <f>+G63</f>
        <v>1605.2752500000001</v>
      </c>
      <c r="H64" s="319">
        <f>+H63</f>
        <v>45.4389</v>
      </c>
      <c r="I64" s="319">
        <f>+I63</f>
        <v>143.54025000000001</v>
      </c>
      <c r="J64" s="319">
        <f>+J63</f>
        <v>345.24475</v>
      </c>
      <c r="K64" s="319">
        <f>+K63</f>
        <v>2460.68625</v>
      </c>
    </row>
    <row r="65" spans="2:11" ht="12.75">
      <c r="B65" s="14"/>
      <c r="C65" s="380"/>
      <c r="D65" s="381"/>
      <c r="E65" s="381"/>
      <c r="F65" s="382" t="s">
        <v>363</v>
      </c>
      <c r="G65">
        <f>+G49/$C49</f>
        <v>68.08</v>
      </c>
      <c r="H65">
        <f>+H49/$C49</f>
        <v>3.08</v>
      </c>
      <c r="I65">
        <f>+I49/$C49</f>
        <v>9.24</v>
      </c>
      <c r="J65">
        <f>+J49/$C49</f>
        <v>1.52</v>
      </c>
      <c r="K65">
        <f>+K49/$C49</f>
        <v>12.16</v>
      </c>
    </row>
    <row r="66" spans="2:11" ht="12.75">
      <c r="B66" s="14"/>
      <c r="C66" s="380"/>
      <c r="D66" s="381"/>
      <c r="E66" s="381"/>
      <c r="F66" s="382" t="s">
        <v>364</v>
      </c>
      <c r="G66" s="319">
        <f>+G62+G64+G65</f>
        <v>1895.35525</v>
      </c>
      <c r="H66" s="319">
        <f>+H62+H64+H65</f>
        <v>70.71889999999999</v>
      </c>
      <c r="I66" s="319">
        <f>+I62+I64+I65</f>
        <v>174.98025</v>
      </c>
      <c r="J66" s="319">
        <f>+J62+J64+J65</f>
        <v>368.36475</v>
      </c>
      <c r="K66" s="319">
        <f>+K62+K64+K65</f>
        <v>2687.04625</v>
      </c>
    </row>
    <row r="67" spans="2:11" ht="12.75">
      <c r="B67" s="14"/>
      <c r="C67" s="380"/>
      <c r="D67" s="381"/>
      <c r="E67" s="381"/>
      <c r="F67" s="383"/>
      <c r="G67" s="521" t="s">
        <v>300</v>
      </c>
      <c r="H67" s="522"/>
      <c r="I67" s="522"/>
      <c r="J67" s="522"/>
      <c r="K67" s="523"/>
    </row>
    <row r="68" spans="2:6" ht="12.75">
      <c r="B68" s="14"/>
      <c r="C68" s="380"/>
      <c r="D68" s="381"/>
      <c r="E68" s="381"/>
      <c r="F68" s="382"/>
    </row>
    <row r="69" spans="2:11" ht="12.75">
      <c r="B69" s="14"/>
      <c r="C69" s="380"/>
      <c r="D69" s="381"/>
      <c r="E69" s="381"/>
      <c r="F69" s="382" t="s">
        <v>365</v>
      </c>
      <c r="G69" s="319">
        <f>+I40/$H23</f>
        <v>443.7278350515464</v>
      </c>
      <c r="H69" s="319">
        <f>+J40/$H23</f>
        <v>44.65979381443299</v>
      </c>
      <c r="I69" s="319">
        <f>+K40/$H23</f>
        <v>44.61030927835052</v>
      </c>
      <c r="J69" s="319">
        <f>+L40/$H23</f>
        <v>42.97731958762887</v>
      </c>
      <c r="K69" s="319">
        <f>+M40/$H23</f>
        <v>427.6453608247422</v>
      </c>
    </row>
    <row r="70" spans="2:11" ht="12.75">
      <c r="B70" s="14"/>
      <c r="C70" s="380"/>
      <c r="D70" s="381"/>
      <c r="E70" s="381"/>
      <c r="F70" s="382" t="s">
        <v>361</v>
      </c>
      <c r="G70" s="319">
        <f>+(+I23+I10)/$H23</f>
        <v>1615.771530927835</v>
      </c>
      <c r="H70" s="319">
        <f>+(+J23+J10)/$H23</f>
        <v>45.74226185567011</v>
      </c>
      <c r="I70" s="319">
        <f>+(+K23+K10)/$H23</f>
        <v>144.4181907216495</v>
      </c>
      <c r="J70" s="319">
        <f>+(+L23+L10)/$H23</f>
        <v>344.0980360824742</v>
      </c>
      <c r="K70" s="319">
        <f>+(+M23+M10)/$H23</f>
        <v>2450.6822319587627</v>
      </c>
    </row>
    <row r="71" spans="2:11" ht="12.75">
      <c r="B71" s="14"/>
      <c r="C71" s="380"/>
      <c r="D71" s="381"/>
      <c r="E71" s="381"/>
      <c r="F71" s="382" t="s">
        <v>366</v>
      </c>
      <c r="G71" s="319">
        <f>+G70/2</f>
        <v>807.8857654639176</v>
      </c>
      <c r="H71" s="319">
        <f>+H70/2</f>
        <v>22.871130927835054</v>
      </c>
      <c r="I71" s="319">
        <f>+I70/2</f>
        <v>72.20909536082475</v>
      </c>
      <c r="J71" s="319">
        <f>+J70/2</f>
        <v>172.0490180412371</v>
      </c>
      <c r="K71" s="319">
        <f>+K70/2</f>
        <v>1225.3411159793814</v>
      </c>
    </row>
    <row r="72" spans="2:11" ht="12.75">
      <c r="B72" s="14"/>
      <c r="C72" s="380"/>
      <c r="D72" s="381"/>
      <c r="E72" s="381"/>
      <c r="F72" s="382" t="s">
        <v>363</v>
      </c>
      <c r="G72">
        <f>+G49/$C49</f>
        <v>68.08</v>
      </c>
      <c r="H72">
        <f>+H49/$C49</f>
        <v>3.08</v>
      </c>
      <c r="I72">
        <f>+I49/$C49</f>
        <v>9.24</v>
      </c>
      <c r="J72">
        <f>+J49/$C49</f>
        <v>1.52</v>
      </c>
      <c r="K72">
        <f>+K49/$C49</f>
        <v>12.16</v>
      </c>
    </row>
    <row r="73" spans="2:11" ht="12.75">
      <c r="B73" s="14"/>
      <c r="C73" s="380"/>
      <c r="D73" s="381"/>
      <c r="E73" s="381"/>
      <c r="F73" s="382" t="s">
        <v>367</v>
      </c>
      <c r="G73" s="319">
        <f>+(G69*0.8229)+G71+(G72/2)</f>
        <v>1207.069400927835</v>
      </c>
      <c r="H73" s="319">
        <f>+(H69*0.8229)+H71+(H72/2)</f>
        <v>61.16167525773196</v>
      </c>
      <c r="I73" s="319">
        <f>+(I69*0.8229)+I71+(I72/2)</f>
        <v>113.53891886597938</v>
      </c>
      <c r="J73" s="319">
        <f>+(J69*0.8229)+J71+(J72/2)</f>
        <v>208.17505432989688</v>
      </c>
      <c r="K73" s="319">
        <f>+(K69*0.8229)+K71+(K72/2)</f>
        <v>1583.3304834020616</v>
      </c>
    </row>
    <row r="74" spans="2:6" ht="12.75">
      <c r="B74" s="14"/>
      <c r="C74" s="380"/>
      <c r="D74" s="381"/>
      <c r="E74" s="381"/>
      <c r="F74" s="383"/>
    </row>
    <row r="75" spans="2:11" ht="12.75">
      <c r="B75" s="14"/>
      <c r="C75" s="384"/>
      <c r="D75" s="385"/>
      <c r="E75" s="385" t="s">
        <v>368</v>
      </c>
      <c r="F75" s="386"/>
      <c r="G75" s="319">
        <f>+G73-G66</f>
        <v>-688.2858490721651</v>
      </c>
      <c r="H75" s="319">
        <f>+H73-H66</f>
        <v>-9.557224742268033</v>
      </c>
      <c r="I75" s="319">
        <f>+I73-I66</f>
        <v>-61.44133113402063</v>
      </c>
      <c r="J75" s="319">
        <f>+J73-J66</f>
        <v>-160.18969567010313</v>
      </c>
      <c r="K75" s="319">
        <f>+K73-K66</f>
        <v>-1103.7157665979382</v>
      </c>
    </row>
    <row r="76" ht="12.75">
      <c r="C76" t="s">
        <v>369</v>
      </c>
    </row>
    <row r="77" ht="12.75">
      <c r="C77" t="s">
        <v>370</v>
      </c>
    </row>
    <row r="78" ht="12.75">
      <c r="C78" t="s">
        <v>372</v>
      </c>
    </row>
    <row r="79" ht="12.75">
      <c r="C79" t="s">
        <v>371</v>
      </c>
    </row>
    <row r="82" ht="12.75">
      <c r="H82" s="319"/>
    </row>
  </sheetData>
  <sheetProtection/>
  <mergeCells count="14">
    <mergeCell ref="G20:M20"/>
    <mergeCell ref="D27:M27"/>
    <mergeCell ref="G61:K61"/>
    <mergeCell ref="G67:K67"/>
    <mergeCell ref="D29:M29"/>
    <mergeCell ref="D35:M35"/>
    <mergeCell ref="B50:K50"/>
    <mergeCell ref="B45:K45"/>
    <mergeCell ref="B48:K48"/>
    <mergeCell ref="G3:M3"/>
    <mergeCell ref="G7:M7"/>
    <mergeCell ref="A14:E14"/>
    <mergeCell ref="A18:E18"/>
    <mergeCell ref="G16:M16"/>
  </mergeCells>
  <printOptions horizontalCentered="1"/>
  <pageMargins left="0.5" right="0.5" top="1.25" bottom="0.5" header="0.7" footer="0.4"/>
  <pageSetup firstPageNumber="17" useFirstPageNumber="1" fitToHeight="2" horizontalDpi="600" verticalDpi="600" orientation="landscape" scale="84" r:id="rId1"/>
  <headerFooter alignWithMargins="0">
    <oddHeader xml:space="preserve">&amp;C&amp;"Arial,Bold"&amp;12TABLE A-32
&amp;8
&amp;12Marine Vessel Emission Estimates </oddHeader>
    <oddFooter>&amp;L&amp;8N:\2105\&amp;F:&amp;A&amp;R&amp;8&amp;D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M2"/>
    </sheetView>
  </sheetViews>
  <sheetFormatPr defaultColWidth="9.140625" defaultRowHeight="12.75"/>
  <cols>
    <col min="1" max="1" width="18.00390625" style="35" customWidth="1"/>
    <col min="2" max="13" width="7.57421875" style="152" customWidth="1"/>
    <col min="15" max="16" width="8.8515625" style="0" customWidth="1"/>
    <col min="18" max="18" width="8.8515625" style="0" customWidth="1"/>
  </cols>
  <sheetData>
    <row r="1" spans="1:14" ht="18.75" customHeight="1">
      <c r="A1" s="387" t="s">
        <v>252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48"/>
    </row>
    <row r="2" spans="1:14" ht="18.75" customHeight="1">
      <c r="A2" s="387" t="s">
        <v>246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48"/>
    </row>
    <row r="3" spans="1:7" ht="12.75">
      <c r="A3" s="303"/>
      <c r="B3" s="298"/>
      <c r="C3" s="298"/>
      <c r="D3" s="298"/>
      <c r="E3" s="298"/>
      <c r="F3" s="298"/>
      <c r="G3" s="298"/>
    </row>
    <row r="4" ht="13.5" thickBot="1"/>
    <row r="5" spans="1:13" s="160" customFormat="1" ht="27.75" thickBot="1">
      <c r="A5" s="352" t="s">
        <v>187</v>
      </c>
      <c r="B5" s="350" t="s">
        <v>188</v>
      </c>
      <c r="C5" s="350" t="s">
        <v>189</v>
      </c>
      <c r="D5" s="350" t="s">
        <v>190</v>
      </c>
      <c r="E5" s="350" t="s">
        <v>191</v>
      </c>
      <c r="F5" s="350" t="s">
        <v>192</v>
      </c>
      <c r="G5" s="350" t="s">
        <v>193</v>
      </c>
      <c r="H5" s="350" t="s">
        <v>194</v>
      </c>
      <c r="I5" s="350" t="s">
        <v>195</v>
      </c>
      <c r="J5" s="350" t="s">
        <v>196</v>
      </c>
      <c r="K5" s="350" t="s">
        <v>197</v>
      </c>
      <c r="L5" s="350" t="s">
        <v>198</v>
      </c>
      <c r="M5" s="351" t="s">
        <v>199</v>
      </c>
    </row>
    <row r="6" spans="1:13" ht="12.75">
      <c r="A6" s="349" t="s">
        <v>200</v>
      </c>
      <c r="B6" s="90">
        <v>5</v>
      </c>
      <c r="C6" s="90">
        <v>5</v>
      </c>
      <c r="D6" s="90">
        <v>5</v>
      </c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0">
        <v>2</v>
      </c>
      <c r="K6" s="90">
        <v>2</v>
      </c>
      <c r="L6" s="90">
        <v>1</v>
      </c>
      <c r="M6" s="90">
        <v>1</v>
      </c>
    </row>
    <row r="7" spans="1:13" ht="12.75">
      <c r="A7" s="304" t="s">
        <v>90</v>
      </c>
      <c r="B7" s="24">
        <v>3</v>
      </c>
      <c r="C7" s="24">
        <v>3</v>
      </c>
      <c r="D7" s="24"/>
      <c r="E7" s="24"/>
      <c r="F7" s="24"/>
      <c r="G7" s="24"/>
      <c r="H7" s="24">
        <v>1</v>
      </c>
      <c r="I7" s="24">
        <v>1</v>
      </c>
      <c r="J7" s="24"/>
      <c r="K7" s="24"/>
      <c r="L7" s="24"/>
      <c r="M7" s="24"/>
    </row>
    <row r="8" spans="1:13" ht="12.75">
      <c r="A8" s="304" t="s">
        <v>201</v>
      </c>
      <c r="B8" s="24">
        <v>2</v>
      </c>
      <c r="C8" s="24">
        <v>1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304" t="s">
        <v>202</v>
      </c>
      <c r="B9" s="24">
        <v>2</v>
      </c>
      <c r="C9" s="24">
        <v>2</v>
      </c>
      <c r="D9" s="24"/>
      <c r="E9" s="24"/>
      <c r="F9" s="24"/>
      <c r="G9" s="24"/>
      <c r="H9" s="24">
        <v>1</v>
      </c>
      <c r="I9" s="24">
        <v>1</v>
      </c>
      <c r="J9" s="24"/>
      <c r="K9" s="24"/>
      <c r="L9" s="24"/>
      <c r="M9" s="24"/>
    </row>
    <row r="10" spans="1:13" ht="12.75">
      <c r="A10" s="304" t="s">
        <v>203</v>
      </c>
      <c r="B10" s="24">
        <v>2</v>
      </c>
      <c r="C10" s="24">
        <v>2</v>
      </c>
      <c r="D10" s="24">
        <v>5</v>
      </c>
      <c r="E10" s="24">
        <v>5</v>
      </c>
      <c r="F10" s="24">
        <v>5</v>
      </c>
      <c r="G10" s="24">
        <v>5</v>
      </c>
      <c r="H10" s="24">
        <v>2</v>
      </c>
      <c r="I10" s="24">
        <v>2</v>
      </c>
      <c r="J10" s="24">
        <v>1</v>
      </c>
      <c r="K10" s="24">
        <v>1</v>
      </c>
      <c r="L10" s="24"/>
      <c r="M10" s="24"/>
    </row>
    <row r="11" spans="1:13" ht="12.75">
      <c r="A11" s="304" t="s">
        <v>204</v>
      </c>
      <c r="B11" s="24">
        <v>3</v>
      </c>
      <c r="C11" s="24">
        <v>2</v>
      </c>
      <c r="D11" s="24"/>
      <c r="E11" s="24"/>
      <c r="F11" s="24"/>
      <c r="G11" s="24"/>
      <c r="H11" s="24"/>
      <c r="I11" s="24"/>
      <c r="J11" s="24">
        <v>1</v>
      </c>
      <c r="K11" s="24">
        <v>1</v>
      </c>
      <c r="L11" s="24"/>
      <c r="M11" s="24"/>
    </row>
    <row r="12" spans="1:13" ht="12.75">
      <c r="A12" s="304" t="s">
        <v>205</v>
      </c>
      <c r="B12" s="24">
        <v>3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3</v>
      </c>
      <c r="J12" s="24">
        <v>1</v>
      </c>
      <c r="K12" s="24">
        <v>1</v>
      </c>
      <c r="L12" s="24"/>
      <c r="M12" s="24"/>
    </row>
    <row r="13" spans="1:13" ht="12.75">
      <c r="A13" s="304" t="s">
        <v>206</v>
      </c>
      <c r="B13" s="24">
        <v>2</v>
      </c>
      <c r="C13" s="24">
        <v>1</v>
      </c>
      <c r="D13" s="24"/>
      <c r="E13" s="24"/>
      <c r="F13" s="24"/>
      <c r="G13" s="24"/>
      <c r="H13" s="24"/>
      <c r="I13" s="24">
        <v>1</v>
      </c>
      <c r="J13" s="24"/>
      <c r="K13" s="24"/>
      <c r="L13" s="24"/>
      <c r="M13" s="24"/>
    </row>
    <row r="14" spans="1:13" ht="12.75">
      <c r="A14" s="304" t="s">
        <v>207</v>
      </c>
      <c r="B14" s="24">
        <v>2</v>
      </c>
      <c r="C14" s="24">
        <v>2</v>
      </c>
      <c r="D14" s="24">
        <v>3</v>
      </c>
      <c r="E14" s="24">
        <v>3</v>
      </c>
      <c r="F14" s="24">
        <v>3</v>
      </c>
      <c r="G14" s="24">
        <v>3</v>
      </c>
      <c r="H14" s="24">
        <v>2</v>
      </c>
      <c r="I14" s="24">
        <v>2</v>
      </c>
      <c r="J14" s="24"/>
      <c r="K14" s="24"/>
      <c r="L14" s="24"/>
      <c r="M14" s="24"/>
    </row>
    <row r="15" spans="1:13" ht="12.75">
      <c r="A15" s="304" t="s">
        <v>99</v>
      </c>
      <c r="B15" s="24">
        <v>1</v>
      </c>
      <c r="C15" s="24">
        <v>1</v>
      </c>
      <c r="D15" s="24"/>
      <c r="E15" s="24"/>
      <c r="F15" s="24"/>
      <c r="G15" s="24"/>
      <c r="H15" s="24">
        <v>1</v>
      </c>
      <c r="I15" s="24"/>
      <c r="J15" s="24"/>
      <c r="K15" s="24"/>
      <c r="L15" s="24"/>
      <c r="M15" s="24"/>
    </row>
    <row r="16" spans="1:13" ht="12.75">
      <c r="A16" s="304" t="s">
        <v>100</v>
      </c>
      <c r="B16" s="24">
        <v>1</v>
      </c>
      <c r="C16" s="24">
        <v>1</v>
      </c>
      <c r="D16" s="24"/>
      <c r="E16" s="24"/>
      <c r="F16" s="24"/>
      <c r="G16" s="24"/>
      <c r="H16" s="24">
        <v>1</v>
      </c>
      <c r="I16" s="24">
        <v>1</v>
      </c>
      <c r="J16" s="24"/>
      <c r="K16" s="24"/>
      <c r="L16" s="24"/>
      <c r="M16" s="24"/>
    </row>
    <row r="17" spans="1:13" ht="12.75">
      <c r="A17" s="304" t="s">
        <v>208</v>
      </c>
      <c r="B17" s="24">
        <v>6</v>
      </c>
      <c r="C17" s="24">
        <v>6</v>
      </c>
      <c r="D17" s="24">
        <v>10</v>
      </c>
      <c r="E17" s="24">
        <v>10</v>
      </c>
      <c r="F17" s="24">
        <v>10</v>
      </c>
      <c r="G17" s="24">
        <v>10</v>
      </c>
      <c r="H17" s="24">
        <v>6</v>
      </c>
      <c r="I17" s="24">
        <v>6</v>
      </c>
      <c r="J17" s="24">
        <v>3</v>
      </c>
      <c r="K17" s="24">
        <v>3</v>
      </c>
      <c r="L17" s="24">
        <v>2</v>
      </c>
      <c r="M17" s="24">
        <v>2</v>
      </c>
    </row>
    <row r="18" spans="1:13" ht="12.75">
      <c r="A18" s="304" t="s">
        <v>101</v>
      </c>
      <c r="B18" s="24">
        <v>1</v>
      </c>
      <c r="C18" s="24">
        <v>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304" t="s">
        <v>209</v>
      </c>
      <c r="B19" s="24">
        <v>1</v>
      </c>
      <c r="C19" s="24">
        <v>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304" t="s">
        <v>210</v>
      </c>
      <c r="B20" s="24">
        <v>1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/>
      <c r="M20" s="24"/>
    </row>
  </sheetData>
  <sheetProtection/>
  <mergeCells count="2">
    <mergeCell ref="A1:M1"/>
    <mergeCell ref="A2:M2"/>
  </mergeCells>
  <printOptions horizontalCentered="1"/>
  <pageMargins left="0.5" right="0.5" top="1.01" bottom="0.54" header="0.5" footer="0.5"/>
  <pageSetup horizontalDpi="600" verticalDpi="600" orientation="landscape" r:id="rId1"/>
  <headerFooter alignWithMargins="0">
    <oddHeader>&amp;C&amp;"Arial,Bold"&amp;12TABLE A-4</oddHeader>
    <oddFooter>&amp;L&amp;8N:\2105\&amp;F:&amp;A&amp;R&amp;8&amp;D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4">
      <selection activeCell="M32" sqref="M32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3.5" thickTop="1">
      <c r="A4" s="75" t="s">
        <v>84</v>
      </c>
      <c r="B4" s="76"/>
      <c r="C4" s="76" t="s">
        <v>85</v>
      </c>
      <c r="D4" s="77"/>
      <c r="E4" s="78" t="s">
        <v>86</v>
      </c>
      <c r="F4" s="78"/>
      <c r="G4" s="12"/>
      <c r="H4" s="79"/>
      <c r="I4" s="80"/>
      <c r="J4" s="78" t="s">
        <v>87</v>
      </c>
      <c r="K4" s="81"/>
      <c r="L4" s="82"/>
      <c r="M4" s="13"/>
    </row>
    <row r="5" spans="1:13" ht="13.5" thickBot="1">
      <c r="A5" s="83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86" t="s">
        <v>3</v>
      </c>
      <c r="I5" s="87" t="s">
        <v>0</v>
      </c>
      <c r="J5" s="85" t="s">
        <v>1</v>
      </c>
      <c r="K5" s="85" t="s">
        <v>2</v>
      </c>
      <c r="L5" s="85" t="s">
        <v>14</v>
      </c>
      <c r="M5" s="88" t="s">
        <v>3</v>
      </c>
    </row>
    <row r="6" spans="1:13" ht="13.5" thickTop="1">
      <c r="A6" s="89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9">
        <f>0.001*37*0.48</f>
        <v>0.017759999999999998</v>
      </c>
      <c r="I6" s="91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92">
        <f aca="true" t="shared" si="1" ref="M6:M18">B6*C6*H6</f>
        <v>0.7103999999999999</v>
      </c>
    </row>
    <row r="7" spans="1:13" ht="12.75">
      <c r="A7" s="93" t="s">
        <v>90</v>
      </c>
      <c r="B7" s="17">
        <v>3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18">
        <f>0.001*119*0.465</f>
        <v>0.05533500000000001</v>
      </c>
      <c r="I7" s="91">
        <f>B7*C7*D7</f>
        <v>19.9206</v>
      </c>
      <c r="J7" s="18">
        <f>B7*C7*E7</f>
        <v>3.9841200000000003</v>
      </c>
      <c r="K7" s="18">
        <f>B7*C7*F7</f>
        <v>29.216880000000003</v>
      </c>
      <c r="L7" s="18">
        <f t="shared" si="0"/>
        <v>2.65608</v>
      </c>
      <c r="M7" s="92">
        <f t="shared" si="1"/>
        <v>1.32804</v>
      </c>
    </row>
    <row r="8" spans="1:13" ht="12.75">
      <c r="A8" s="89" t="s">
        <v>91</v>
      </c>
      <c r="B8" s="20">
        <v>2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95">
        <v>0.165</v>
      </c>
      <c r="I8" s="91">
        <v>0</v>
      </c>
      <c r="J8" s="18">
        <v>0</v>
      </c>
      <c r="K8" s="18">
        <v>0</v>
      </c>
      <c r="L8" s="18">
        <f t="shared" si="0"/>
        <v>5.6</v>
      </c>
      <c r="M8" s="92">
        <f t="shared" si="1"/>
        <v>2.64</v>
      </c>
    </row>
    <row r="9" spans="1:13" ht="12.75">
      <c r="A9" s="89" t="s">
        <v>93</v>
      </c>
      <c r="B9" s="20">
        <v>2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95">
        <f>0.00025*4*0.55</f>
        <v>0.00055</v>
      </c>
      <c r="I9" s="91">
        <f aca="true" t="shared" si="2" ref="I9:I18">B9*C9*D9</f>
        <v>29.216</v>
      </c>
      <c r="J9" s="18">
        <f aca="true" t="shared" si="3" ref="J9:J18">B9*C9*E9</f>
        <v>151.35999999999999</v>
      </c>
      <c r="K9" s="18">
        <f aca="true" t="shared" si="4" ref="K9:K18">B9*C9*F9</f>
        <v>14.08</v>
      </c>
      <c r="L9" s="18">
        <f t="shared" si="0"/>
        <v>17.6</v>
      </c>
      <c r="M9" s="92">
        <f t="shared" si="1"/>
        <v>0.0088</v>
      </c>
    </row>
    <row r="10" spans="1:13" ht="12.75">
      <c r="A10" s="89" t="s">
        <v>94</v>
      </c>
      <c r="B10" s="20">
        <v>2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95">
        <f>0.0015*194*0.43</f>
        <v>0.12513</v>
      </c>
      <c r="I10" s="91">
        <f t="shared" si="2"/>
        <v>12.012479999999998</v>
      </c>
      <c r="J10" s="18">
        <f t="shared" si="3"/>
        <v>4.00416</v>
      </c>
      <c r="K10" s="18">
        <f t="shared" si="4"/>
        <v>30.698559999999997</v>
      </c>
      <c r="L10" s="18">
        <f t="shared" si="0"/>
        <v>2.6694400000000003</v>
      </c>
      <c r="M10" s="92">
        <f t="shared" si="1"/>
        <v>2.00208</v>
      </c>
    </row>
    <row r="11" spans="1:13" ht="12.75">
      <c r="A11" s="89" t="s">
        <v>95</v>
      </c>
      <c r="B11" s="20">
        <v>3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95">
        <v>0.26</v>
      </c>
      <c r="I11" s="91">
        <f t="shared" si="2"/>
        <v>43.2</v>
      </c>
      <c r="J11" s="18">
        <f t="shared" si="3"/>
        <v>4.5600000000000005</v>
      </c>
      <c r="K11" s="18">
        <f t="shared" si="4"/>
        <v>100.08</v>
      </c>
      <c r="L11" s="18">
        <f t="shared" si="0"/>
        <v>10.8</v>
      </c>
      <c r="M11" s="92">
        <f t="shared" si="1"/>
        <v>6.24</v>
      </c>
    </row>
    <row r="12" spans="1:13" ht="12.75">
      <c r="A12" s="89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95">
        <v>0.26</v>
      </c>
      <c r="I12" s="91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92">
        <f t="shared" si="1"/>
        <v>6.24</v>
      </c>
    </row>
    <row r="13" spans="1:13" ht="12.75">
      <c r="A13" s="89" t="s">
        <v>97</v>
      </c>
      <c r="B13" s="20">
        <v>2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95">
        <v>0.17</v>
      </c>
      <c r="I13" s="91">
        <f t="shared" si="2"/>
        <v>9.152</v>
      </c>
      <c r="J13" s="18">
        <f t="shared" si="3"/>
        <v>3.68</v>
      </c>
      <c r="K13" s="18">
        <f t="shared" si="4"/>
        <v>30.4</v>
      </c>
      <c r="L13" s="18">
        <f t="shared" si="0"/>
        <v>2.912</v>
      </c>
      <c r="M13" s="92">
        <f t="shared" si="1"/>
        <v>2.72</v>
      </c>
    </row>
    <row r="14" spans="1:13" ht="12.75">
      <c r="A14" s="89" t="s">
        <v>98</v>
      </c>
      <c r="B14" s="20">
        <v>2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9">
        <f>0.0015*43*0.505</f>
        <v>0.032572500000000004</v>
      </c>
      <c r="I14" s="91">
        <f t="shared" si="2"/>
        <v>4.516719999999999</v>
      </c>
      <c r="J14" s="18">
        <f t="shared" si="3"/>
        <v>1.0423200000000001</v>
      </c>
      <c r="K14" s="18">
        <f t="shared" si="4"/>
        <v>10.77064</v>
      </c>
      <c r="L14" s="18">
        <f t="shared" si="0"/>
        <v>0.69488</v>
      </c>
      <c r="M14" s="92">
        <f t="shared" si="1"/>
        <v>0.5211600000000001</v>
      </c>
    </row>
    <row r="15" spans="1:13" ht="12.75">
      <c r="A15" s="89" t="s">
        <v>99</v>
      </c>
      <c r="B15" s="20">
        <v>1</v>
      </c>
      <c r="C15" s="90">
        <v>8</v>
      </c>
      <c r="D15" s="29">
        <v>0.675</v>
      </c>
      <c r="E15" s="29">
        <v>0.039</v>
      </c>
      <c r="F15" s="29">
        <v>0.054</v>
      </c>
      <c r="G15" s="29">
        <v>0.45</v>
      </c>
      <c r="H15" s="95">
        <v>0.061</v>
      </c>
      <c r="I15" s="91">
        <f t="shared" si="2"/>
        <v>5.4</v>
      </c>
      <c r="J15" s="18">
        <f t="shared" si="3"/>
        <v>0.312</v>
      </c>
      <c r="K15" s="18">
        <f t="shared" si="4"/>
        <v>0.432</v>
      </c>
      <c r="L15" s="18">
        <f t="shared" si="0"/>
        <v>3.6</v>
      </c>
      <c r="M15" s="92">
        <f t="shared" si="1"/>
        <v>0.488</v>
      </c>
    </row>
    <row r="16" spans="1:13" ht="12.75">
      <c r="A16" s="89" t="s">
        <v>100</v>
      </c>
      <c r="B16" s="20">
        <v>1</v>
      </c>
      <c r="C16" s="90">
        <v>8</v>
      </c>
      <c r="D16" s="29">
        <v>0.99</v>
      </c>
      <c r="E16" s="29">
        <v>0.2</v>
      </c>
      <c r="F16" s="29">
        <v>2.38</v>
      </c>
      <c r="G16" s="29">
        <v>0.2</v>
      </c>
      <c r="H16" s="95">
        <v>0.1</v>
      </c>
      <c r="I16" s="91">
        <f t="shared" si="2"/>
        <v>7.92</v>
      </c>
      <c r="J16" s="18">
        <f t="shared" si="3"/>
        <v>1.6</v>
      </c>
      <c r="K16" s="18">
        <f t="shared" si="4"/>
        <v>19.04</v>
      </c>
      <c r="L16" s="18">
        <f t="shared" si="0"/>
        <v>1.6</v>
      </c>
      <c r="M16" s="92">
        <f t="shared" si="1"/>
        <v>0.8</v>
      </c>
    </row>
    <row r="17" spans="1:13" ht="12.75">
      <c r="A17" s="89" t="s">
        <v>101</v>
      </c>
      <c r="B17" s="20">
        <v>1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95">
        <v>0.14</v>
      </c>
      <c r="I17" s="91">
        <f t="shared" si="2"/>
        <v>5.4</v>
      </c>
      <c r="J17" s="18">
        <f t="shared" si="3"/>
        <v>1.2</v>
      </c>
      <c r="K17" s="18">
        <f t="shared" si="4"/>
        <v>13.6</v>
      </c>
      <c r="L17" s="18">
        <f t="shared" si="0"/>
        <v>3.6</v>
      </c>
      <c r="M17" s="92">
        <f t="shared" si="1"/>
        <v>1.12</v>
      </c>
    </row>
    <row r="18" spans="1:13" ht="12.75">
      <c r="A18" s="89" t="s">
        <v>102</v>
      </c>
      <c r="B18" s="20">
        <v>1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95">
        <v>0.09</v>
      </c>
      <c r="I18" s="91">
        <f t="shared" si="2"/>
        <v>9.6</v>
      </c>
      <c r="J18" s="18">
        <f t="shared" si="3"/>
        <v>1.44</v>
      </c>
      <c r="K18" s="18">
        <f t="shared" si="4"/>
        <v>10.56</v>
      </c>
      <c r="L18" s="18">
        <f t="shared" si="0"/>
        <v>0.96</v>
      </c>
      <c r="M18" s="92">
        <f t="shared" si="1"/>
        <v>0.72</v>
      </c>
    </row>
    <row r="19" spans="1:13" ht="12.75">
      <c r="A19" s="89"/>
      <c r="B19" s="20"/>
      <c r="C19" s="90"/>
      <c r="D19" s="29"/>
      <c r="E19" s="29"/>
      <c r="F19" s="29"/>
      <c r="G19" s="29"/>
      <c r="H19" s="95"/>
      <c r="I19" s="91"/>
      <c r="J19" s="18"/>
      <c r="K19" s="18"/>
      <c r="L19" s="18"/>
      <c r="M19" s="92"/>
    </row>
    <row r="20" spans="1:13" ht="12.75">
      <c r="A20" s="89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95">
        <v>0.093</v>
      </c>
      <c r="I20" s="91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92">
        <f>B20*C20*H20</f>
        <v>0.744</v>
      </c>
    </row>
    <row r="21" spans="1:13" ht="12.75">
      <c r="A21" s="89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9">
        <f>0.00025*22*0.74</f>
        <v>0.00407</v>
      </c>
      <c r="I21" s="91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92">
        <f>B21*C21*H21</f>
        <v>0.03256</v>
      </c>
    </row>
    <row r="22" spans="1:13" ht="12.75">
      <c r="A22" s="89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9">
        <f>0.001*35*0.45</f>
        <v>0.015750000000000004</v>
      </c>
      <c r="I22" s="91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92">
        <f>B22*C22*H22</f>
        <v>0.12600000000000003</v>
      </c>
    </row>
    <row r="23" spans="1:13" ht="13.5" thickBot="1">
      <c r="A23" s="93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108"/>
    </row>
    <row r="24" spans="1:13" ht="13.5" thickBot="1">
      <c r="A24" s="99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395.52316</v>
      </c>
      <c r="J24" s="102">
        <f>SUM(J6:J22)</f>
        <v>187.80836000000002</v>
      </c>
      <c r="K24" s="102">
        <f>SUM(K6:K22)</f>
        <v>386.59376</v>
      </c>
      <c r="L24" s="102">
        <f>SUM(L6:L22)</f>
        <v>66.387344</v>
      </c>
      <c r="M24" s="112">
        <f>SUM(M6:M22)</f>
        <v>26.44104</v>
      </c>
    </row>
    <row r="25" spans="1:13" ht="14.25" thickBot="1" thickTop="1">
      <c r="A25" s="113" t="s">
        <v>13</v>
      </c>
      <c r="B25" s="103"/>
      <c r="C25" s="104"/>
      <c r="D25" s="104"/>
      <c r="E25" s="11"/>
      <c r="F25" s="11"/>
      <c r="G25" s="11"/>
      <c r="H25" s="11"/>
      <c r="I25" s="11" t="s">
        <v>13</v>
      </c>
      <c r="J25" s="11" t="s">
        <v>13</v>
      </c>
      <c r="K25" s="11" t="s">
        <v>13</v>
      </c>
      <c r="L25" s="11" t="s">
        <v>13</v>
      </c>
      <c r="M25" s="105" t="s">
        <v>13</v>
      </c>
    </row>
    <row r="26" ht="13.5" thickTop="1"/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A-5
Construction Equipment Emissions for the Ultramar CARB Phase 3 Project 
Construction Month 1
</oddHeader>
    <oddFooter>&amp;L&amp;8N:\2105\&amp;F:&amp;A&amp;R&amp;8&amp;D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C1">
      <selection activeCell="A23" sqref="A23:A2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2.75">
      <c r="A4" s="273" t="s">
        <v>84</v>
      </c>
      <c r="B4" s="274"/>
      <c r="C4" s="274" t="s">
        <v>85</v>
      </c>
      <c r="D4" s="275"/>
      <c r="E4" s="276" t="s">
        <v>86</v>
      </c>
      <c r="F4" s="276"/>
      <c r="G4" s="37"/>
      <c r="H4" s="290"/>
      <c r="I4" s="116"/>
      <c r="J4" s="276" t="s">
        <v>87</v>
      </c>
      <c r="K4" s="277"/>
      <c r="L4" s="278"/>
      <c r="M4" s="48"/>
    </row>
    <row r="5" spans="1:13" ht="13.5" thickBot="1">
      <c r="A5" s="279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291" t="s">
        <v>3</v>
      </c>
      <c r="I5" s="288" t="s">
        <v>0</v>
      </c>
      <c r="J5" s="85" t="s">
        <v>1</v>
      </c>
      <c r="K5" s="85" t="s">
        <v>2</v>
      </c>
      <c r="L5" s="85" t="s">
        <v>14</v>
      </c>
      <c r="M5" s="280" t="s">
        <v>3</v>
      </c>
    </row>
    <row r="6" spans="1:13" ht="13.5" thickTop="1">
      <c r="A6" s="272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34">
        <f>0.001*37*0.48</f>
        <v>0.017759999999999998</v>
      </c>
      <c r="I6" s="289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281">
        <f aca="true" t="shared" si="1" ref="M6:M18">B6*C6*H6</f>
        <v>0.7103999999999999</v>
      </c>
    </row>
    <row r="7" spans="1:13" ht="12.75">
      <c r="A7" s="282" t="s">
        <v>90</v>
      </c>
      <c r="B7" s="17">
        <v>0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235">
        <f>0.001*119*0.465</f>
        <v>0.05533500000000001</v>
      </c>
      <c r="I7" s="289">
        <f>B7*C7*D7</f>
        <v>0</v>
      </c>
      <c r="J7" s="18">
        <f>B7*C7*E7</f>
        <v>0</v>
      </c>
      <c r="K7" s="18">
        <f>B7*C7*F7</f>
        <v>0</v>
      </c>
      <c r="L7" s="18">
        <f t="shared" si="0"/>
        <v>0</v>
      </c>
      <c r="M7" s="281">
        <f t="shared" si="1"/>
        <v>0</v>
      </c>
    </row>
    <row r="8" spans="1:13" ht="12.75">
      <c r="A8" s="272" t="s">
        <v>91</v>
      </c>
      <c r="B8" s="20">
        <v>0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234">
        <v>0.165</v>
      </c>
      <c r="I8" s="289">
        <v>0</v>
      </c>
      <c r="J8" s="18">
        <v>0</v>
      </c>
      <c r="K8" s="18">
        <v>0</v>
      </c>
      <c r="L8" s="18">
        <f t="shared" si="0"/>
        <v>0</v>
      </c>
      <c r="M8" s="281">
        <f t="shared" si="1"/>
        <v>0</v>
      </c>
    </row>
    <row r="9" spans="1:13" ht="12.75">
      <c r="A9" s="272" t="s">
        <v>93</v>
      </c>
      <c r="B9" s="20">
        <v>0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234">
        <f>0.00025*4*0.55</f>
        <v>0.00055</v>
      </c>
      <c r="I9" s="289">
        <f aca="true" t="shared" si="2" ref="I9:I18">B9*C9*D9</f>
        <v>0</v>
      </c>
      <c r="J9" s="18">
        <f aca="true" t="shared" si="3" ref="J9:J18">B9*C9*E9</f>
        <v>0</v>
      </c>
      <c r="K9" s="18">
        <f aca="true" t="shared" si="4" ref="K9:K18">B9*C9*F9</f>
        <v>0</v>
      </c>
      <c r="L9" s="18">
        <f t="shared" si="0"/>
        <v>0</v>
      </c>
      <c r="M9" s="281">
        <f t="shared" si="1"/>
        <v>0</v>
      </c>
    </row>
    <row r="10" spans="1:13" ht="12.75">
      <c r="A10" s="272" t="s">
        <v>94</v>
      </c>
      <c r="B10" s="20">
        <v>5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234">
        <f>0.0015*194*0.43</f>
        <v>0.12513</v>
      </c>
      <c r="I10" s="289">
        <f t="shared" si="2"/>
        <v>30.031199999999995</v>
      </c>
      <c r="J10" s="18">
        <f t="shared" si="3"/>
        <v>10.010399999999999</v>
      </c>
      <c r="K10" s="18">
        <f t="shared" si="4"/>
        <v>76.7464</v>
      </c>
      <c r="L10" s="18">
        <f t="shared" si="0"/>
        <v>6.6736</v>
      </c>
      <c r="M10" s="281">
        <f t="shared" si="1"/>
        <v>5.005199999999999</v>
      </c>
    </row>
    <row r="11" spans="1:13" ht="12.75">
      <c r="A11" s="272" t="s">
        <v>95</v>
      </c>
      <c r="B11" s="20">
        <v>0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234">
        <v>0.26</v>
      </c>
      <c r="I11" s="289">
        <f t="shared" si="2"/>
        <v>0</v>
      </c>
      <c r="J11" s="18">
        <f t="shared" si="3"/>
        <v>0</v>
      </c>
      <c r="K11" s="18">
        <f t="shared" si="4"/>
        <v>0</v>
      </c>
      <c r="L11" s="18">
        <f t="shared" si="0"/>
        <v>0</v>
      </c>
      <c r="M11" s="281">
        <f t="shared" si="1"/>
        <v>0</v>
      </c>
    </row>
    <row r="12" spans="1:13" ht="12.75">
      <c r="A12" s="272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234">
        <v>0.26</v>
      </c>
      <c r="I12" s="289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281">
        <f t="shared" si="1"/>
        <v>6.24</v>
      </c>
    </row>
    <row r="13" spans="1:13" ht="12.75">
      <c r="A13" s="272" t="s">
        <v>97</v>
      </c>
      <c r="B13" s="20">
        <v>0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234">
        <v>0.17</v>
      </c>
      <c r="I13" s="289">
        <f t="shared" si="2"/>
        <v>0</v>
      </c>
      <c r="J13" s="18">
        <f t="shared" si="3"/>
        <v>0</v>
      </c>
      <c r="K13" s="18">
        <f t="shared" si="4"/>
        <v>0</v>
      </c>
      <c r="L13" s="18">
        <f t="shared" si="0"/>
        <v>0</v>
      </c>
      <c r="M13" s="281">
        <f t="shared" si="1"/>
        <v>0</v>
      </c>
    </row>
    <row r="14" spans="1:13" ht="12.75">
      <c r="A14" s="272" t="s">
        <v>98</v>
      </c>
      <c r="B14" s="20">
        <v>3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34">
        <f>0.0015*43*0.505</f>
        <v>0.032572500000000004</v>
      </c>
      <c r="I14" s="289">
        <f t="shared" si="2"/>
        <v>6.775079999999999</v>
      </c>
      <c r="J14" s="18">
        <f t="shared" si="3"/>
        <v>1.5634800000000002</v>
      </c>
      <c r="K14" s="18">
        <f t="shared" si="4"/>
        <v>16.15596</v>
      </c>
      <c r="L14" s="18">
        <f t="shared" si="0"/>
        <v>1.0423200000000001</v>
      </c>
      <c r="M14" s="281">
        <f t="shared" si="1"/>
        <v>0.7817400000000001</v>
      </c>
    </row>
    <row r="15" spans="1:13" ht="12.75">
      <c r="A15" s="272" t="s">
        <v>99</v>
      </c>
      <c r="B15" s="20">
        <v>0</v>
      </c>
      <c r="C15" s="90">
        <v>0</v>
      </c>
      <c r="D15" s="29">
        <v>0.675</v>
      </c>
      <c r="E15" s="29">
        <v>0.039</v>
      </c>
      <c r="F15" s="29">
        <v>0.054</v>
      </c>
      <c r="G15" s="29">
        <v>0.45</v>
      </c>
      <c r="H15" s="234">
        <v>0.061</v>
      </c>
      <c r="I15" s="289">
        <f t="shared" si="2"/>
        <v>0</v>
      </c>
      <c r="J15" s="18">
        <f t="shared" si="3"/>
        <v>0</v>
      </c>
      <c r="K15" s="18">
        <f t="shared" si="4"/>
        <v>0</v>
      </c>
      <c r="L15" s="18">
        <f t="shared" si="0"/>
        <v>0</v>
      </c>
      <c r="M15" s="281">
        <f t="shared" si="1"/>
        <v>0</v>
      </c>
    </row>
    <row r="16" spans="1:13" ht="12.75">
      <c r="A16" s="272" t="s">
        <v>100</v>
      </c>
      <c r="B16" s="20">
        <v>0</v>
      </c>
      <c r="C16" s="90">
        <v>0</v>
      </c>
      <c r="D16" s="29">
        <v>0.99</v>
      </c>
      <c r="E16" s="29">
        <v>0.2</v>
      </c>
      <c r="F16" s="29">
        <v>2.38</v>
      </c>
      <c r="G16" s="29">
        <v>0.2</v>
      </c>
      <c r="H16" s="234">
        <v>0.1</v>
      </c>
      <c r="I16" s="289">
        <f t="shared" si="2"/>
        <v>0</v>
      </c>
      <c r="J16" s="18">
        <f t="shared" si="3"/>
        <v>0</v>
      </c>
      <c r="K16" s="18">
        <f t="shared" si="4"/>
        <v>0</v>
      </c>
      <c r="L16" s="18">
        <f t="shared" si="0"/>
        <v>0</v>
      </c>
      <c r="M16" s="281">
        <f t="shared" si="1"/>
        <v>0</v>
      </c>
    </row>
    <row r="17" spans="1:13" ht="12.75">
      <c r="A17" s="272" t="s">
        <v>101</v>
      </c>
      <c r="B17" s="20">
        <v>0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234">
        <v>0.14</v>
      </c>
      <c r="I17" s="289">
        <f t="shared" si="2"/>
        <v>0</v>
      </c>
      <c r="J17" s="18">
        <f t="shared" si="3"/>
        <v>0</v>
      </c>
      <c r="K17" s="18">
        <f t="shared" si="4"/>
        <v>0</v>
      </c>
      <c r="L17" s="18">
        <f t="shared" si="0"/>
        <v>0</v>
      </c>
      <c r="M17" s="281">
        <f t="shared" si="1"/>
        <v>0</v>
      </c>
    </row>
    <row r="18" spans="1:13" ht="12.75">
      <c r="A18" s="272" t="s">
        <v>102</v>
      </c>
      <c r="B18" s="20">
        <v>0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234">
        <v>0.09</v>
      </c>
      <c r="I18" s="289">
        <f t="shared" si="2"/>
        <v>0</v>
      </c>
      <c r="J18" s="18">
        <f t="shared" si="3"/>
        <v>0</v>
      </c>
      <c r="K18" s="18">
        <f t="shared" si="4"/>
        <v>0</v>
      </c>
      <c r="L18" s="18">
        <f t="shared" si="0"/>
        <v>0</v>
      </c>
      <c r="M18" s="281">
        <f t="shared" si="1"/>
        <v>0</v>
      </c>
    </row>
    <row r="19" spans="1:13" ht="12.75">
      <c r="A19" s="272"/>
      <c r="B19" s="20"/>
      <c r="C19" s="90"/>
      <c r="D19" s="29"/>
      <c r="E19" s="29"/>
      <c r="F19" s="29"/>
      <c r="G19" s="29"/>
      <c r="H19" s="234"/>
      <c r="I19" s="289"/>
      <c r="J19" s="18"/>
      <c r="K19" s="18"/>
      <c r="L19" s="18"/>
      <c r="M19" s="281"/>
    </row>
    <row r="20" spans="1:13" ht="12.75">
      <c r="A20" s="272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234">
        <v>0.093</v>
      </c>
      <c r="I20" s="289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281">
        <f>B20*C20*H20</f>
        <v>0.744</v>
      </c>
    </row>
    <row r="21" spans="1:13" ht="12.75">
      <c r="A21" s="272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34">
        <f>0.00025*22*0.74</f>
        <v>0.00407</v>
      </c>
      <c r="I21" s="289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281">
        <f>B21*C21*H21</f>
        <v>0.03256</v>
      </c>
    </row>
    <row r="22" spans="1:13" ht="12.75">
      <c r="A22" s="272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34">
        <f>0.001*35*0.45</f>
        <v>0.015750000000000004</v>
      </c>
      <c r="I22" s="289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281">
        <f>B22*C22*H22</f>
        <v>0.12600000000000003</v>
      </c>
    </row>
    <row r="23" spans="1:13" ht="13.5" thickBot="1">
      <c r="A23" s="282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283"/>
    </row>
    <row r="24" spans="1:13" ht="13.5" thickBot="1">
      <c r="A24" s="284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285.99164</v>
      </c>
      <c r="J24" s="102">
        <f>SUM(J6:J22)</f>
        <v>26.199639999999995</v>
      </c>
      <c r="K24" s="102">
        <f>SUM(K6:K22)</f>
        <v>220.61803999999998</v>
      </c>
      <c r="L24" s="102">
        <f>SUM(L6:L22)</f>
        <v>21.410864</v>
      </c>
      <c r="M24" s="285">
        <f>SUM(M6:M22)</f>
        <v>13.639899999999999</v>
      </c>
    </row>
    <row r="25" spans="1:13" ht="14.25" thickBot="1" thickTop="1">
      <c r="A25" s="286" t="s">
        <v>13</v>
      </c>
      <c r="B25" s="287"/>
      <c r="C25" s="214"/>
      <c r="D25" s="214"/>
      <c r="E25" s="233"/>
      <c r="F25" s="233"/>
      <c r="G25" s="233"/>
      <c r="H25" s="233"/>
      <c r="I25" s="233" t="s">
        <v>13</v>
      </c>
      <c r="J25" s="233" t="s">
        <v>13</v>
      </c>
      <c r="K25" s="233" t="s">
        <v>13</v>
      </c>
      <c r="L25" s="233" t="s">
        <v>13</v>
      </c>
      <c r="M25" s="57" t="s">
        <v>13</v>
      </c>
    </row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A-6
Construction Equipment Emissions for the Ultramar CARB Phase 3 Project 
Construction Month 4
</oddHeader>
    <oddFooter>&amp;L&amp;8N\2105\&amp;F:&amp;A&amp;R&amp;8&amp;D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4">
      <selection activeCell="A23" sqref="A23:A2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2.75">
      <c r="A4" s="273" t="s">
        <v>84</v>
      </c>
      <c r="B4" s="274"/>
      <c r="C4" s="274" t="s">
        <v>85</v>
      </c>
      <c r="D4" s="275"/>
      <c r="E4" s="276" t="s">
        <v>86</v>
      </c>
      <c r="F4" s="276"/>
      <c r="G4" s="37"/>
      <c r="H4" s="290"/>
      <c r="I4" s="116"/>
      <c r="J4" s="276" t="s">
        <v>87</v>
      </c>
      <c r="K4" s="277"/>
      <c r="L4" s="278"/>
      <c r="M4" s="48"/>
    </row>
    <row r="5" spans="1:13" ht="13.5" thickBot="1">
      <c r="A5" s="279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291" t="s">
        <v>3</v>
      </c>
      <c r="I5" s="288" t="s">
        <v>0</v>
      </c>
      <c r="J5" s="85" t="s">
        <v>1</v>
      </c>
      <c r="K5" s="85" t="s">
        <v>2</v>
      </c>
      <c r="L5" s="85" t="s">
        <v>14</v>
      </c>
      <c r="M5" s="280" t="s">
        <v>3</v>
      </c>
    </row>
    <row r="6" spans="1:13" ht="13.5" thickTop="1">
      <c r="A6" s="272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34">
        <f>0.001*37*0.48</f>
        <v>0.017759999999999998</v>
      </c>
      <c r="I6" s="289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281">
        <f aca="true" t="shared" si="1" ref="M6:M18">B6*C6*H6</f>
        <v>0.7103999999999999</v>
      </c>
    </row>
    <row r="7" spans="1:13" ht="12.75">
      <c r="A7" s="282" t="s">
        <v>90</v>
      </c>
      <c r="B7" s="17">
        <v>1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235">
        <f>0.001*119*0.465</f>
        <v>0.05533500000000001</v>
      </c>
      <c r="I7" s="289">
        <f>B7*C7*D7</f>
        <v>6.6402</v>
      </c>
      <c r="J7" s="18">
        <f>B7*C7*E7</f>
        <v>1.32804</v>
      </c>
      <c r="K7" s="18">
        <f>B7*C7*F7</f>
        <v>9.73896</v>
      </c>
      <c r="L7" s="18">
        <f t="shared" si="0"/>
        <v>0.8853600000000001</v>
      </c>
      <c r="M7" s="281">
        <f t="shared" si="1"/>
        <v>0.4426800000000001</v>
      </c>
    </row>
    <row r="8" spans="1:13" ht="12.75">
      <c r="A8" s="272" t="s">
        <v>91</v>
      </c>
      <c r="B8" s="20">
        <v>0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234">
        <v>0.165</v>
      </c>
      <c r="I8" s="289">
        <v>0</v>
      </c>
      <c r="J8" s="18">
        <v>0</v>
      </c>
      <c r="K8" s="18">
        <v>0</v>
      </c>
      <c r="L8" s="18">
        <f t="shared" si="0"/>
        <v>0</v>
      </c>
      <c r="M8" s="281">
        <f t="shared" si="1"/>
        <v>0</v>
      </c>
    </row>
    <row r="9" spans="1:13" ht="12.75">
      <c r="A9" s="272" t="s">
        <v>93</v>
      </c>
      <c r="B9" s="20">
        <v>1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234">
        <f>0.00025*4*0.55</f>
        <v>0.00055</v>
      </c>
      <c r="I9" s="289">
        <f aca="true" t="shared" si="2" ref="I9:I18">B9*C9*D9</f>
        <v>14.608</v>
      </c>
      <c r="J9" s="18">
        <f aca="true" t="shared" si="3" ref="J9:J18">B9*C9*E9</f>
        <v>75.67999999999999</v>
      </c>
      <c r="K9" s="18">
        <f aca="true" t="shared" si="4" ref="K9:K18">B9*C9*F9</f>
        <v>7.04</v>
      </c>
      <c r="L9" s="18">
        <f t="shared" si="0"/>
        <v>8.8</v>
      </c>
      <c r="M9" s="281">
        <f t="shared" si="1"/>
        <v>0.0044</v>
      </c>
    </row>
    <row r="10" spans="1:13" ht="12.75">
      <c r="A10" s="272" t="s">
        <v>94</v>
      </c>
      <c r="B10" s="20">
        <v>2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234">
        <f>0.0015*194*0.43</f>
        <v>0.12513</v>
      </c>
      <c r="I10" s="289">
        <f t="shared" si="2"/>
        <v>12.012479999999998</v>
      </c>
      <c r="J10" s="18">
        <f t="shared" si="3"/>
        <v>4.00416</v>
      </c>
      <c r="K10" s="18">
        <f t="shared" si="4"/>
        <v>30.698559999999997</v>
      </c>
      <c r="L10" s="18">
        <f t="shared" si="0"/>
        <v>2.6694400000000003</v>
      </c>
      <c r="M10" s="281">
        <f t="shared" si="1"/>
        <v>2.00208</v>
      </c>
    </row>
    <row r="11" spans="1:13" ht="12.75">
      <c r="A11" s="272" t="s">
        <v>95</v>
      </c>
      <c r="B11" s="20">
        <v>0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234">
        <v>0.26</v>
      </c>
      <c r="I11" s="289">
        <f t="shared" si="2"/>
        <v>0</v>
      </c>
      <c r="J11" s="18">
        <f t="shared" si="3"/>
        <v>0</v>
      </c>
      <c r="K11" s="18">
        <f t="shared" si="4"/>
        <v>0</v>
      </c>
      <c r="L11" s="18">
        <f t="shared" si="0"/>
        <v>0</v>
      </c>
      <c r="M11" s="281">
        <f t="shared" si="1"/>
        <v>0</v>
      </c>
    </row>
    <row r="12" spans="1:13" ht="12.75">
      <c r="A12" s="272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234">
        <v>0.26</v>
      </c>
      <c r="I12" s="289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281">
        <f t="shared" si="1"/>
        <v>6.24</v>
      </c>
    </row>
    <row r="13" spans="1:13" ht="12.75">
      <c r="A13" s="272" t="s">
        <v>97</v>
      </c>
      <c r="B13" s="20">
        <v>0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234">
        <v>0.17</v>
      </c>
      <c r="I13" s="289">
        <f t="shared" si="2"/>
        <v>0</v>
      </c>
      <c r="J13" s="18">
        <f t="shared" si="3"/>
        <v>0</v>
      </c>
      <c r="K13" s="18">
        <f t="shared" si="4"/>
        <v>0</v>
      </c>
      <c r="L13" s="18">
        <f t="shared" si="0"/>
        <v>0</v>
      </c>
      <c r="M13" s="281">
        <f t="shared" si="1"/>
        <v>0</v>
      </c>
    </row>
    <row r="14" spans="1:13" ht="12.75">
      <c r="A14" s="272" t="s">
        <v>98</v>
      </c>
      <c r="B14" s="20">
        <v>2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34">
        <f>0.0015*43*0.505</f>
        <v>0.032572500000000004</v>
      </c>
      <c r="I14" s="289">
        <f t="shared" si="2"/>
        <v>4.516719999999999</v>
      </c>
      <c r="J14" s="18">
        <f t="shared" si="3"/>
        <v>1.0423200000000001</v>
      </c>
      <c r="K14" s="18">
        <f t="shared" si="4"/>
        <v>10.77064</v>
      </c>
      <c r="L14" s="18">
        <f t="shared" si="0"/>
        <v>0.69488</v>
      </c>
      <c r="M14" s="281">
        <f t="shared" si="1"/>
        <v>0.5211600000000001</v>
      </c>
    </row>
    <row r="15" spans="1:13" ht="12.75">
      <c r="A15" s="272" t="s">
        <v>99</v>
      </c>
      <c r="B15" s="20">
        <v>1</v>
      </c>
      <c r="C15" s="90">
        <v>8</v>
      </c>
      <c r="D15" s="29">
        <v>0.675</v>
      </c>
      <c r="E15" s="29">
        <v>0.039</v>
      </c>
      <c r="F15" s="29">
        <v>0.054</v>
      </c>
      <c r="G15" s="29">
        <v>0.45</v>
      </c>
      <c r="H15" s="234">
        <v>0.061</v>
      </c>
      <c r="I15" s="289">
        <f t="shared" si="2"/>
        <v>5.4</v>
      </c>
      <c r="J15" s="18">
        <f t="shared" si="3"/>
        <v>0.312</v>
      </c>
      <c r="K15" s="18">
        <f t="shared" si="4"/>
        <v>0.432</v>
      </c>
      <c r="L15" s="18">
        <f t="shared" si="0"/>
        <v>3.6</v>
      </c>
      <c r="M15" s="281">
        <f t="shared" si="1"/>
        <v>0.488</v>
      </c>
    </row>
    <row r="16" spans="1:13" ht="12.75">
      <c r="A16" s="272" t="s">
        <v>100</v>
      </c>
      <c r="B16" s="20">
        <v>1</v>
      </c>
      <c r="C16" s="90">
        <v>8</v>
      </c>
      <c r="D16" s="29">
        <v>0.99</v>
      </c>
      <c r="E16" s="29">
        <v>0.2</v>
      </c>
      <c r="F16" s="29">
        <v>2.38</v>
      </c>
      <c r="G16" s="29">
        <v>0.2</v>
      </c>
      <c r="H16" s="234">
        <v>0.1</v>
      </c>
      <c r="I16" s="289">
        <f t="shared" si="2"/>
        <v>7.92</v>
      </c>
      <c r="J16" s="18">
        <f t="shared" si="3"/>
        <v>1.6</v>
      </c>
      <c r="K16" s="18">
        <f t="shared" si="4"/>
        <v>19.04</v>
      </c>
      <c r="L16" s="18">
        <f t="shared" si="0"/>
        <v>1.6</v>
      </c>
      <c r="M16" s="281">
        <f t="shared" si="1"/>
        <v>0.8</v>
      </c>
    </row>
    <row r="17" spans="1:13" ht="12.75">
      <c r="A17" s="272" t="s">
        <v>101</v>
      </c>
      <c r="B17" s="20">
        <v>0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234">
        <v>0.14</v>
      </c>
      <c r="I17" s="289">
        <f t="shared" si="2"/>
        <v>0</v>
      </c>
      <c r="J17" s="18">
        <f t="shared" si="3"/>
        <v>0</v>
      </c>
      <c r="K17" s="18">
        <f t="shared" si="4"/>
        <v>0</v>
      </c>
      <c r="L17" s="18">
        <f t="shared" si="0"/>
        <v>0</v>
      </c>
      <c r="M17" s="281">
        <f t="shared" si="1"/>
        <v>0</v>
      </c>
    </row>
    <row r="18" spans="1:13" ht="12.75">
      <c r="A18" s="272" t="s">
        <v>102</v>
      </c>
      <c r="B18" s="20">
        <v>0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234">
        <v>0.09</v>
      </c>
      <c r="I18" s="289">
        <f t="shared" si="2"/>
        <v>0</v>
      </c>
      <c r="J18" s="18">
        <f t="shared" si="3"/>
        <v>0</v>
      </c>
      <c r="K18" s="18">
        <f t="shared" si="4"/>
        <v>0</v>
      </c>
      <c r="L18" s="18">
        <f t="shared" si="0"/>
        <v>0</v>
      </c>
      <c r="M18" s="281">
        <f t="shared" si="1"/>
        <v>0</v>
      </c>
    </row>
    <row r="19" spans="1:13" ht="12.75">
      <c r="A19" s="272"/>
      <c r="B19" s="20"/>
      <c r="C19" s="90"/>
      <c r="D19" s="29"/>
      <c r="E19" s="29"/>
      <c r="F19" s="29"/>
      <c r="G19" s="29"/>
      <c r="H19" s="234"/>
      <c r="I19" s="289"/>
      <c r="J19" s="18"/>
      <c r="K19" s="18"/>
      <c r="L19" s="18"/>
      <c r="M19" s="281"/>
    </row>
    <row r="20" spans="1:13" ht="12.75">
      <c r="A20" s="272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234">
        <v>0.093</v>
      </c>
      <c r="I20" s="289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281">
        <f>B20*C20*H20</f>
        <v>0.744</v>
      </c>
    </row>
    <row r="21" spans="1:13" ht="12.75">
      <c r="A21" s="272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34">
        <f>0.00025*22*0.74</f>
        <v>0.00407</v>
      </c>
      <c r="I21" s="289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281">
        <f>B21*C21*H21</f>
        <v>0.03256</v>
      </c>
    </row>
    <row r="22" spans="1:13" ht="12.75">
      <c r="A22" s="272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34">
        <f>0.001*35*0.45</f>
        <v>0.015750000000000004</v>
      </c>
      <c r="I22" s="289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281">
        <f>B22*C22*H22</f>
        <v>0.12600000000000003</v>
      </c>
    </row>
    <row r="23" spans="1:13" ht="13.5" thickBot="1">
      <c r="A23" s="282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283"/>
    </row>
    <row r="24" spans="1:13" ht="13.5" thickBot="1">
      <c r="A24" s="284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300.28276000000005</v>
      </c>
      <c r="J24" s="102">
        <f>SUM(J6:J22)</f>
        <v>98.59227999999999</v>
      </c>
      <c r="K24" s="102">
        <f>SUM(K6:K22)</f>
        <v>205.43583999999998</v>
      </c>
      <c r="L24" s="102">
        <f>SUM(L6:L22)</f>
        <v>31.944624</v>
      </c>
      <c r="M24" s="285">
        <f>SUM(M6:M22)</f>
        <v>12.11128</v>
      </c>
    </row>
    <row r="25" spans="1:13" ht="14.25" thickBot="1" thickTop="1">
      <c r="A25" s="286" t="s">
        <v>13</v>
      </c>
      <c r="B25" s="287"/>
      <c r="C25" s="214"/>
      <c r="D25" s="214"/>
      <c r="E25" s="233"/>
      <c r="F25" s="233"/>
      <c r="G25" s="233"/>
      <c r="H25" s="233"/>
      <c r="I25" s="233" t="s">
        <v>13</v>
      </c>
      <c r="J25" s="233" t="s">
        <v>13</v>
      </c>
      <c r="K25" s="233" t="s">
        <v>13</v>
      </c>
      <c r="L25" s="233" t="s">
        <v>13</v>
      </c>
      <c r="M25" s="57" t="s">
        <v>13</v>
      </c>
    </row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A-7
Construction Equipment Emissions for the Ultramar CARB Phase 3 Project 
Construction Month 7
</oddHeader>
    <oddFooter>&amp;L&amp;8N\2105\&amp;F:&amp;A&amp;R&amp;8&amp;D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B5">
      <selection activeCell="A23" sqref="A23:A2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1:13" ht="15.75" customHeight="1">
      <c r="A2" s="391" t="s">
        <v>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ht="13.5" thickBot="1"/>
    <row r="4" spans="1:13" ht="12.75">
      <c r="A4" s="273" t="s">
        <v>84</v>
      </c>
      <c r="B4" s="274"/>
      <c r="C4" s="274" t="s">
        <v>85</v>
      </c>
      <c r="D4" s="275"/>
      <c r="E4" s="276" t="s">
        <v>86</v>
      </c>
      <c r="F4" s="276"/>
      <c r="G4" s="37"/>
      <c r="H4" s="290"/>
      <c r="I4" s="116"/>
      <c r="J4" s="276" t="s">
        <v>87</v>
      </c>
      <c r="K4" s="277"/>
      <c r="L4" s="278"/>
      <c r="M4" s="48"/>
    </row>
    <row r="5" spans="1:13" ht="13.5" thickBot="1">
      <c r="A5" s="279" t="s">
        <v>13</v>
      </c>
      <c r="B5" s="114" t="s">
        <v>46</v>
      </c>
      <c r="C5" s="84" t="s">
        <v>88</v>
      </c>
      <c r="D5" s="85" t="s">
        <v>0</v>
      </c>
      <c r="E5" s="85" t="s">
        <v>1</v>
      </c>
      <c r="F5" s="85" t="s">
        <v>2</v>
      </c>
      <c r="G5" s="85" t="s">
        <v>14</v>
      </c>
      <c r="H5" s="291" t="s">
        <v>3</v>
      </c>
      <c r="I5" s="288" t="s">
        <v>0</v>
      </c>
      <c r="J5" s="85" t="s">
        <v>1</v>
      </c>
      <c r="K5" s="85" t="s">
        <v>2</v>
      </c>
      <c r="L5" s="85" t="s">
        <v>14</v>
      </c>
      <c r="M5" s="280" t="s">
        <v>3</v>
      </c>
    </row>
    <row r="6" spans="1:13" ht="13.5" thickTop="1">
      <c r="A6" s="272" t="s">
        <v>89</v>
      </c>
      <c r="B6" s="17">
        <v>5</v>
      </c>
      <c r="C6" s="90">
        <v>8</v>
      </c>
      <c r="D6" s="29">
        <f>0.011*37*0.48</f>
        <v>0.19535999999999998</v>
      </c>
      <c r="E6" s="29">
        <f>0.002*37*0.48</f>
        <v>0.035519999999999996</v>
      </c>
      <c r="F6" s="29">
        <f>0.018*37*0.48</f>
        <v>0.31967999999999996</v>
      </c>
      <c r="G6" s="29">
        <f>0.002*37*0.48</f>
        <v>0.035519999999999996</v>
      </c>
      <c r="H6" s="234">
        <f>0.001*37*0.48</f>
        <v>0.017759999999999998</v>
      </c>
      <c r="I6" s="289">
        <f>B6*C6*D6</f>
        <v>7.814399999999999</v>
      </c>
      <c r="J6" s="18">
        <f>B6*C6*E6</f>
        <v>1.4207999999999998</v>
      </c>
      <c r="K6" s="18">
        <f>B6*C6*F6</f>
        <v>12.787199999999999</v>
      </c>
      <c r="L6" s="18">
        <f aca="true" t="shared" si="0" ref="L6:L18">B6*C6*G6</f>
        <v>1.4207999999999998</v>
      </c>
      <c r="M6" s="281">
        <f aca="true" t="shared" si="1" ref="M6:M18">B6*C6*H6</f>
        <v>0.7103999999999999</v>
      </c>
    </row>
    <row r="7" spans="1:13" ht="12.75">
      <c r="A7" s="282" t="s">
        <v>90</v>
      </c>
      <c r="B7" s="17">
        <v>1</v>
      </c>
      <c r="C7" s="90">
        <v>8</v>
      </c>
      <c r="D7" s="18">
        <f>0.015*119*0.465</f>
        <v>0.830025</v>
      </c>
      <c r="E7" s="18">
        <f>0.003*119*0.465</f>
        <v>0.166005</v>
      </c>
      <c r="F7" s="18">
        <f>0.022*119*0.465</f>
        <v>1.21737</v>
      </c>
      <c r="G7" s="18">
        <f>0.002*119*0.465</f>
        <v>0.11067000000000002</v>
      </c>
      <c r="H7" s="235">
        <f>0.001*119*0.465</f>
        <v>0.05533500000000001</v>
      </c>
      <c r="I7" s="289">
        <f>B7*C7*D7</f>
        <v>6.6402</v>
      </c>
      <c r="J7" s="18">
        <f>B7*C7*E7</f>
        <v>1.32804</v>
      </c>
      <c r="K7" s="18">
        <f>B7*C7*F7</f>
        <v>9.73896</v>
      </c>
      <c r="L7" s="18">
        <f t="shared" si="0"/>
        <v>0.8853600000000001</v>
      </c>
      <c r="M7" s="281">
        <f t="shared" si="1"/>
        <v>0.4426800000000001</v>
      </c>
    </row>
    <row r="8" spans="1:13" ht="12.75">
      <c r="A8" s="272" t="s">
        <v>91</v>
      </c>
      <c r="B8" s="20">
        <v>0</v>
      </c>
      <c r="C8" s="90">
        <v>8</v>
      </c>
      <c r="D8" s="94" t="s">
        <v>92</v>
      </c>
      <c r="E8" s="94" t="s">
        <v>92</v>
      </c>
      <c r="F8" s="94" t="s">
        <v>92</v>
      </c>
      <c r="G8" s="29">
        <v>0.35</v>
      </c>
      <c r="H8" s="234">
        <v>0.165</v>
      </c>
      <c r="I8" s="289">
        <v>0</v>
      </c>
      <c r="J8" s="18">
        <v>0</v>
      </c>
      <c r="K8" s="18">
        <v>0</v>
      </c>
      <c r="L8" s="18">
        <f t="shared" si="0"/>
        <v>0</v>
      </c>
      <c r="M8" s="281">
        <f t="shared" si="1"/>
        <v>0</v>
      </c>
    </row>
    <row r="9" spans="1:13" ht="12.75">
      <c r="A9" s="272" t="s">
        <v>93</v>
      </c>
      <c r="B9" s="20">
        <v>1</v>
      </c>
      <c r="C9" s="90">
        <v>8</v>
      </c>
      <c r="D9" s="29">
        <f>0.83*4*0.55</f>
        <v>1.826</v>
      </c>
      <c r="E9" s="29">
        <f>0.043*4*55</f>
        <v>9.459999999999999</v>
      </c>
      <c r="F9" s="29">
        <f>0.004*4*55</f>
        <v>0.88</v>
      </c>
      <c r="G9" s="29">
        <f>0.005*4*55</f>
        <v>1.1</v>
      </c>
      <c r="H9" s="234">
        <f>0.00025*4*0.55</f>
        <v>0.00055</v>
      </c>
      <c r="I9" s="289">
        <f aca="true" t="shared" si="2" ref="I9:I18">B9*C9*D9</f>
        <v>14.608</v>
      </c>
      <c r="J9" s="18">
        <f aca="true" t="shared" si="3" ref="J9:J18">B9*C9*E9</f>
        <v>75.67999999999999</v>
      </c>
      <c r="K9" s="18">
        <f aca="true" t="shared" si="4" ref="K9:K18">B9*C9*F9</f>
        <v>7.04</v>
      </c>
      <c r="L9" s="18">
        <f t="shared" si="0"/>
        <v>8.8</v>
      </c>
      <c r="M9" s="281">
        <f t="shared" si="1"/>
        <v>0.0044</v>
      </c>
    </row>
    <row r="10" spans="1:13" ht="12.75">
      <c r="A10" s="272" t="s">
        <v>94</v>
      </c>
      <c r="B10" s="20">
        <v>2</v>
      </c>
      <c r="C10" s="90">
        <v>8</v>
      </c>
      <c r="D10" s="29">
        <f>0.009*194*0.43</f>
        <v>0.7507799999999999</v>
      </c>
      <c r="E10" s="29">
        <f>0.003*194*0.43</f>
        <v>0.25026</v>
      </c>
      <c r="F10" s="29">
        <f>0.023*194*0.43</f>
        <v>1.9186599999999998</v>
      </c>
      <c r="G10" s="29">
        <f>0.002*194*0.43</f>
        <v>0.16684000000000002</v>
      </c>
      <c r="H10" s="234">
        <f>0.0015*194*0.43</f>
        <v>0.12513</v>
      </c>
      <c r="I10" s="289">
        <f t="shared" si="2"/>
        <v>12.012479999999998</v>
      </c>
      <c r="J10" s="18">
        <f t="shared" si="3"/>
        <v>4.00416</v>
      </c>
      <c r="K10" s="18">
        <f t="shared" si="4"/>
        <v>30.698559999999997</v>
      </c>
      <c r="L10" s="18">
        <f t="shared" si="0"/>
        <v>2.6694400000000003</v>
      </c>
      <c r="M10" s="281">
        <f t="shared" si="1"/>
        <v>2.00208</v>
      </c>
    </row>
    <row r="11" spans="1:13" ht="12.75">
      <c r="A11" s="272" t="s">
        <v>95</v>
      </c>
      <c r="B11" s="20">
        <v>0</v>
      </c>
      <c r="C11" s="90">
        <v>8</v>
      </c>
      <c r="D11" s="29">
        <v>1.8</v>
      </c>
      <c r="E11" s="29">
        <v>0.19</v>
      </c>
      <c r="F11" s="29">
        <v>4.17</v>
      </c>
      <c r="G11" s="29">
        <v>0.45</v>
      </c>
      <c r="H11" s="234">
        <v>0.26</v>
      </c>
      <c r="I11" s="289">
        <f t="shared" si="2"/>
        <v>0</v>
      </c>
      <c r="J11" s="18">
        <f t="shared" si="3"/>
        <v>0</v>
      </c>
      <c r="K11" s="18">
        <f t="shared" si="4"/>
        <v>0</v>
      </c>
      <c r="L11" s="18">
        <f t="shared" si="0"/>
        <v>0</v>
      </c>
      <c r="M11" s="281">
        <f t="shared" si="1"/>
        <v>0</v>
      </c>
    </row>
    <row r="12" spans="1:13" ht="12.75">
      <c r="A12" s="272" t="s">
        <v>96</v>
      </c>
      <c r="B12" s="20">
        <v>3</v>
      </c>
      <c r="C12" s="90">
        <v>8</v>
      </c>
      <c r="D12" s="29">
        <v>1.8</v>
      </c>
      <c r="E12" s="29">
        <v>0.19</v>
      </c>
      <c r="F12" s="29">
        <v>4.17</v>
      </c>
      <c r="G12" s="29">
        <v>0.45</v>
      </c>
      <c r="H12" s="234">
        <v>0.26</v>
      </c>
      <c r="I12" s="289">
        <f t="shared" si="2"/>
        <v>43.2</v>
      </c>
      <c r="J12" s="18">
        <f t="shared" si="3"/>
        <v>4.5600000000000005</v>
      </c>
      <c r="K12" s="18">
        <f t="shared" si="4"/>
        <v>100.08</v>
      </c>
      <c r="L12" s="18">
        <f t="shared" si="0"/>
        <v>10.8</v>
      </c>
      <c r="M12" s="281">
        <f t="shared" si="1"/>
        <v>6.24</v>
      </c>
    </row>
    <row r="13" spans="1:13" ht="12.75">
      <c r="A13" s="272" t="s">
        <v>97</v>
      </c>
      <c r="B13" s="20">
        <v>1</v>
      </c>
      <c r="C13" s="90">
        <v>8</v>
      </c>
      <c r="D13" s="29">
        <v>0.572</v>
      </c>
      <c r="E13" s="29">
        <v>0.23</v>
      </c>
      <c r="F13" s="29">
        <v>1.9</v>
      </c>
      <c r="G13" s="29">
        <v>0.182</v>
      </c>
      <c r="H13" s="234">
        <v>0.17</v>
      </c>
      <c r="I13" s="289">
        <f t="shared" si="2"/>
        <v>4.576</v>
      </c>
      <c r="J13" s="18">
        <f t="shared" si="3"/>
        <v>1.84</v>
      </c>
      <c r="K13" s="18">
        <f t="shared" si="4"/>
        <v>15.2</v>
      </c>
      <c r="L13" s="18">
        <f t="shared" si="0"/>
        <v>1.456</v>
      </c>
      <c r="M13" s="281">
        <f t="shared" si="1"/>
        <v>1.36</v>
      </c>
    </row>
    <row r="14" spans="1:13" ht="12.75">
      <c r="A14" s="272" t="s">
        <v>98</v>
      </c>
      <c r="B14" s="20">
        <v>2</v>
      </c>
      <c r="C14" s="90">
        <v>8</v>
      </c>
      <c r="D14" s="29">
        <f>0.013*43*0.505</f>
        <v>0.28229499999999996</v>
      </c>
      <c r="E14" s="29">
        <f>0.003*43*0.505</f>
        <v>0.06514500000000001</v>
      </c>
      <c r="F14" s="29">
        <f>0.031*43*0.505</f>
        <v>0.673165</v>
      </c>
      <c r="G14" s="29">
        <f>0.002*43*0.505</f>
        <v>0.04343</v>
      </c>
      <c r="H14" s="234">
        <f>0.0015*43*0.505</f>
        <v>0.032572500000000004</v>
      </c>
      <c r="I14" s="289">
        <f t="shared" si="2"/>
        <v>4.516719999999999</v>
      </c>
      <c r="J14" s="18">
        <f t="shared" si="3"/>
        <v>1.0423200000000001</v>
      </c>
      <c r="K14" s="18">
        <f t="shared" si="4"/>
        <v>10.77064</v>
      </c>
      <c r="L14" s="18">
        <f t="shared" si="0"/>
        <v>0.69488</v>
      </c>
      <c r="M14" s="281">
        <f t="shared" si="1"/>
        <v>0.5211600000000001</v>
      </c>
    </row>
    <row r="15" spans="1:13" ht="12.75">
      <c r="A15" s="272" t="s">
        <v>99</v>
      </c>
      <c r="B15" s="20">
        <v>0</v>
      </c>
      <c r="C15" s="90">
        <v>0</v>
      </c>
      <c r="D15" s="29">
        <v>0.675</v>
      </c>
      <c r="E15" s="29">
        <v>0.039</v>
      </c>
      <c r="F15" s="29">
        <v>0.054</v>
      </c>
      <c r="G15" s="29">
        <v>0.45</v>
      </c>
      <c r="H15" s="234">
        <v>0.061</v>
      </c>
      <c r="I15" s="289">
        <f t="shared" si="2"/>
        <v>0</v>
      </c>
      <c r="J15" s="18">
        <f t="shared" si="3"/>
        <v>0</v>
      </c>
      <c r="K15" s="18">
        <f t="shared" si="4"/>
        <v>0</v>
      </c>
      <c r="L15" s="18">
        <f t="shared" si="0"/>
        <v>0</v>
      </c>
      <c r="M15" s="281">
        <f t="shared" si="1"/>
        <v>0</v>
      </c>
    </row>
    <row r="16" spans="1:13" ht="12.75">
      <c r="A16" s="272" t="s">
        <v>100</v>
      </c>
      <c r="B16" s="20">
        <v>1</v>
      </c>
      <c r="C16" s="90">
        <v>8</v>
      </c>
      <c r="D16" s="29">
        <v>0.99</v>
      </c>
      <c r="E16" s="29">
        <v>0.2</v>
      </c>
      <c r="F16" s="29">
        <v>2.38</v>
      </c>
      <c r="G16" s="29">
        <v>0.2</v>
      </c>
      <c r="H16" s="234">
        <v>0.1</v>
      </c>
      <c r="I16" s="289">
        <f t="shared" si="2"/>
        <v>7.92</v>
      </c>
      <c r="J16" s="18">
        <f t="shared" si="3"/>
        <v>1.6</v>
      </c>
      <c r="K16" s="18">
        <f t="shared" si="4"/>
        <v>19.04</v>
      </c>
      <c r="L16" s="18">
        <f t="shared" si="0"/>
        <v>1.6</v>
      </c>
      <c r="M16" s="281">
        <f t="shared" si="1"/>
        <v>0.8</v>
      </c>
    </row>
    <row r="17" spans="1:13" ht="12.75">
      <c r="A17" s="272" t="s">
        <v>101</v>
      </c>
      <c r="B17" s="20">
        <v>0</v>
      </c>
      <c r="C17" s="90">
        <v>8</v>
      </c>
      <c r="D17" s="29">
        <v>0.675</v>
      </c>
      <c r="E17" s="29">
        <v>0.15</v>
      </c>
      <c r="F17" s="29">
        <v>1.7</v>
      </c>
      <c r="G17" s="29">
        <v>0.45</v>
      </c>
      <c r="H17" s="234">
        <v>0.14</v>
      </c>
      <c r="I17" s="289">
        <f t="shared" si="2"/>
        <v>0</v>
      </c>
      <c r="J17" s="18">
        <f t="shared" si="3"/>
        <v>0</v>
      </c>
      <c r="K17" s="18">
        <f t="shared" si="4"/>
        <v>0</v>
      </c>
      <c r="L17" s="18">
        <f t="shared" si="0"/>
        <v>0</v>
      </c>
      <c r="M17" s="281">
        <f t="shared" si="1"/>
        <v>0</v>
      </c>
    </row>
    <row r="18" spans="1:13" ht="12.75">
      <c r="A18" s="272" t="s">
        <v>102</v>
      </c>
      <c r="B18" s="20">
        <v>0</v>
      </c>
      <c r="C18" s="90">
        <v>8</v>
      </c>
      <c r="D18" s="29">
        <v>1.2</v>
      </c>
      <c r="E18" s="29">
        <v>0.18</v>
      </c>
      <c r="F18" s="29">
        <v>1.32</v>
      </c>
      <c r="G18" s="29">
        <v>0.12</v>
      </c>
      <c r="H18" s="234">
        <v>0.09</v>
      </c>
      <c r="I18" s="289">
        <f t="shared" si="2"/>
        <v>0</v>
      </c>
      <c r="J18" s="18">
        <f t="shared" si="3"/>
        <v>0</v>
      </c>
      <c r="K18" s="18">
        <f t="shared" si="4"/>
        <v>0</v>
      </c>
      <c r="L18" s="18">
        <f t="shared" si="0"/>
        <v>0</v>
      </c>
      <c r="M18" s="281">
        <f t="shared" si="1"/>
        <v>0</v>
      </c>
    </row>
    <row r="19" spans="1:13" ht="12.75">
      <c r="A19" s="272"/>
      <c r="B19" s="20"/>
      <c r="C19" s="90"/>
      <c r="D19" s="29"/>
      <c r="E19" s="29"/>
      <c r="F19" s="29"/>
      <c r="G19" s="29"/>
      <c r="H19" s="234"/>
      <c r="I19" s="289"/>
      <c r="J19" s="18"/>
      <c r="K19" s="18"/>
      <c r="L19" s="18"/>
      <c r="M19" s="281"/>
    </row>
    <row r="20" spans="1:13" ht="12.75">
      <c r="A20" s="272" t="s">
        <v>103</v>
      </c>
      <c r="B20" s="20">
        <v>1</v>
      </c>
      <c r="C20" s="90">
        <v>8</v>
      </c>
      <c r="D20" s="29">
        <v>0.52</v>
      </c>
      <c r="E20" s="29">
        <v>0.17</v>
      </c>
      <c r="F20" s="29">
        <v>1.54</v>
      </c>
      <c r="G20" s="29">
        <v>0.143</v>
      </c>
      <c r="H20" s="234">
        <v>0.093</v>
      </c>
      <c r="I20" s="289">
        <f>B20*C20*D20</f>
        <v>4.16</v>
      </c>
      <c r="J20" s="18">
        <f>B20*C20*E20</f>
        <v>1.36</v>
      </c>
      <c r="K20" s="18">
        <f>B20*C20*F20</f>
        <v>12.32</v>
      </c>
      <c r="L20" s="18">
        <f>B20*C20*G20</f>
        <v>1.144</v>
      </c>
      <c r="M20" s="281">
        <f>B20*C20*H20</f>
        <v>0.744</v>
      </c>
    </row>
    <row r="21" spans="1:13" ht="12.75">
      <c r="A21" s="272" t="s">
        <v>104</v>
      </c>
      <c r="B21" s="20">
        <v>1</v>
      </c>
      <c r="C21" s="90">
        <v>8</v>
      </c>
      <c r="D21" s="29">
        <f>1.479*22*0.74</f>
        <v>24.078120000000002</v>
      </c>
      <c r="E21" s="29">
        <f>0.054*22*0.74</f>
        <v>0.8791199999999999</v>
      </c>
      <c r="F21" s="29">
        <f>0.002*22*0.74</f>
        <v>0.03256</v>
      </c>
      <c r="G21" s="29">
        <f>0.0006*22*0.74</f>
        <v>0.009767999999999999</v>
      </c>
      <c r="H21" s="234">
        <f>0.00025*22*0.74</f>
        <v>0.00407</v>
      </c>
      <c r="I21" s="289">
        <f>B21*C21*D21</f>
        <v>192.62496000000002</v>
      </c>
      <c r="J21" s="18">
        <f>B21*C21*E21</f>
        <v>7.032959999999999</v>
      </c>
      <c r="K21" s="18">
        <f>B21*C21*F21</f>
        <v>0.26048</v>
      </c>
      <c r="L21" s="18">
        <f>B21*C21*G21</f>
        <v>0.07814399999999999</v>
      </c>
      <c r="M21" s="281">
        <f>B21*C21*H21</f>
        <v>0.03256</v>
      </c>
    </row>
    <row r="22" spans="1:13" ht="12.75">
      <c r="A22" s="272" t="s">
        <v>105</v>
      </c>
      <c r="B22" s="20">
        <v>1</v>
      </c>
      <c r="C22" s="90">
        <v>8</v>
      </c>
      <c r="D22" s="29">
        <f>0.011*35*0.45</f>
        <v>0.17325</v>
      </c>
      <c r="E22" s="29">
        <f>0.002*35*0.45</f>
        <v>0.03150000000000001</v>
      </c>
      <c r="F22" s="29">
        <f>0.018*35*0.45</f>
        <v>0.28350000000000003</v>
      </c>
      <c r="G22" s="29">
        <f>0.002*35*0.45</f>
        <v>0.03150000000000001</v>
      </c>
      <c r="H22" s="234">
        <f>0.001*35*0.45</f>
        <v>0.015750000000000004</v>
      </c>
      <c r="I22" s="289">
        <f>B22*C22*D22</f>
        <v>1.386</v>
      </c>
      <c r="J22" s="18">
        <f>B22*C22*E22</f>
        <v>0.25200000000000006</v>
      </c>
      <c r="K22" s="18">
        <f>B22*C22*F22</f>
        <v>2.2680000000000002</v>
      </c>
      <c r="L22" s="18">
        <f>B22*C22*G22</f>
        <v>0.25200000000000006</v>
      </c>
      <c r="M22" s="281">
        <f>B22*C22*H22</f>
        <v>0.12600000000000003</v>
      </c>
    </row>
    <row r="23" spans="1:13" ht="13.5" thickBot="1">
      <c r="A23" s="282"/>
      <c r="B23" s="10"/>
      <c r="C23" s="98"/>
      <c r="D23" s="19"/>
      <c r="E23" s="19"/>
      <c r="F23" s="19"/>
      <c r="G23" s="19"/>
      <c r="H23" s="19"/>
      <c r="I23" s="107"/>
      <c r="J23" s="19"/>
      <c r="K23" s="19"/>
      <c r="L23" s="19"/>
      <c r="M23" s="283"/>
    </row>
    <row r="24" spans="1:13" ht="13.5" thickBot="1">
      <c r="A24" s="284" t="s">
        <v>106</v>
      </c>
      <c r="B24" s="100"/>
      <c r="C24" s="101"/>
      <c r="D24" s="109"/>
      <c r="E24" s="102"/>
      <c r="F24" s="102"/>
      <c r="G24" s="102"/>
      <c r="H24" s="102"/>
      <c r="I24" s="102">
        <f>SUM(I6:I22)</f>
        <v>299.45876000000004</v>
      </c>
      <c r="J24" s="102">
        <f>SUM(J6:J22)</f>
        <v>100.12028</v>
      </c>
      <c r="K24" s="102">
        <f>SUM(K6:K22)</f>
        <v>220.20383999999999</v>
      </c>
      <c r="L24" s="102">
        <f>SUM(L6:L22)</f>
        <v>29.800624000000003</v>
      </c>
      <c r="M24" s="285">
        <f>SUM(M6:M22)</f>
        <v>12.98328</v>
      </c>
    </row>
    <row r="25" spans="1:13" ht="14.25" thickBot="1" thickTop="1">
      <c r="A25" s="286" t="s">
        <v>13</v>
      </c>
      <c r="B25" s="287"/>
      <c r="C25" s="214"/>
      <c r="D25" s="214"/>
      <c r="E25" s="233"/>
      <c r="F25" s="233"/>
      <c r="G25" s="233"/>
      <c r="H25" s="233"/>
      <c r="I25" s="233" t="s">
        <v>13</v>
      </c>
      <c r="J25" s="233" t="s">
        <v>13</v>
      </c>
      <c r="K25" s="233" t="s">
        <v>13</v>
      </c>
      <c r="L25" s="233" t="s">
        <v>13</v>
      </c>
      <c r="M25" s="57" t="s">
        <v>13</v>
      </c>
    </row>
    <row r="27" ht="12.75">
      <c r="A27" s="14" t="s">
        <v>107</v>
      </c>
    </row>
    <row r="28" spans="1:4" ht="12.75">
      <c r="A28" s="14" t="s">
        <v>108</v>
      </c>
      <c r="D28" s="14" t="s">
        <v>109</v>
      </c>
    </row>
    <row r="29" ht="12.75">
      <c r="A29" s="14" t="s">
        <v>110</v>
      </c>
    </row>
    <row r="30" spans="1:5" ht="12.75">
      <c r="A30" s="14" t="s">
        <v>111</v>
      </c>
      <c r="B30" s="14"/>
      <c r="C30" s="14"/>
      <c r="D30" s="14"/>
      <c r="E30" s="106"/>
    </row>
    <row r="32" ht="12.75">
      <c r="M32" s="64"/>
    </row>
    <row r="33" ht="12.75">
      <c r="A33" s="14"/>
    </row>
  </sheetData>
  <sheetProtection/>
  <mergeCells count="1">
    <mergeCell ref="A2:M2"/>
  </mergeCells>
  <printOptions horizontalCentered="1"/>
  <pageMargins left="0.75" right="0.75" top="1.3" bottom="1" header="0.5" footer="0.5"/>
  <pageSetup horizontalDpi="300" verticalDpi="300" orientation="landscape" scale="81" r:id="rId1"/>
  <headerFooter alignWithMargins="0">
    <oddHeader>&amp;C&amp;"Arial,Bold"&amp;12TABLE A-8
Construction Equipment Emissions for the Ultramar CARB Phase 3 Project 
Construction Month 8
</oddHeader>
    <oddFooter>&amp;L&amp;8N\2105\&amp;F:&amp;A&amp;R&amp;8&amp;D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18.281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6" t="s">
        <v>117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thickBot="1">
      <c r="A2" s="452" t="s">
        <v>59</v>
      </c>
      <c r="B2" s="441" t="s">
        <v>0</v>
      </c>
      <c r="C2" s="393"/>
      <c r="D2" s="441" t="s">
        <v>1</v>
      </c>
      <c r="E2" s="394"/>
      <c r="F2" s="394"/>
      <c r="G2" s="394"/>
      <c r="H2" s="394"/>
      <c r="I2" s="441" t="s">
        <v>2</v>
      </c>
      <c r="J2" s="393"/>
      <c r="K2" s="7" t="s">
        <v>3</v>
      </c>
    </row>
    <row r="3" spans="1:11" ht="53.25" thickBot="1">
      <c r="A3" s="453"/>
      <c r="B3" s="179" t="s">
        <v>4</v>
      </c>
      <c r="C3" s="180" t="s">
        <v>5</v>
      </c>
      <c r="D3" s="179" t="s">
        <v>6</v>
      </c>
      <c r="E3" s="181" t="s">
        <v>5</v>
      </c>
      <c r="F3" s="181" t="s">
        <v>7</v>
      </c>
      <c r="G3" s="181" t="s">
        <v>8</v>
      </c>
      <c r="H3" s="180" t="s">
        <v>9</v>
      </c>
      <c r="I3" s="179" t="s">
        <v>4</v>
      </c>
      <c r="J3" s="180" t="s">
        <v>5</v>
      </c>
      <c r="K3" s="182" t="s">
        <v>10</v>
      </c>
    </row>
    <row r="4" spans="1:11" ht="28.5" customHeight="1">
      <c r="A4" s="70" t="s">
        <v>60</v>
      </c>
      <c r="B4" s="156">
        <v>8.99</v>
      </c>
      <c r="C4" s="187">
        <v>11.76</v>
      </c>
      <c r="D4" s="156">
        <v>0.54</v>
      </c>
      <c r="E4" s="213">
        <v>1.18</v>
      </c>
      <c r="F4" s="184">
        <v>0.37</v>
      </c>
      <c r="G4" s="184">
        <v>0.17</v>
      </c>
      <c r="H4" s="7">
        <v>0.39</v>
      </c>
      <c r="I4" s="192">
        <v>0.88</v>
      </c>
      <c r="J4" s="187">
        <v>0.72</v>
      </c>
      <c r="K4" s="7">
        <v>0.05</v>
      </c>
    </row>
    <row r="5" spans="1:11" ht="12.75">
      <c r="A5" s="190" t="s">
        <v>61</v>
      </c>
      <c r="B5" s="186">
        <v>11.28</v>
      </c>
      <c r="C5" s="188">
        <v>13.95</v>
      </c>
      <c r="D5" s="186">
        <v>0.57</v>
      </c>
      <c r="E5" s="24">
        <v>1.25</v>
      </c>
      <c r="F5" s="23">
        <v>0.37</v>
      </c>
      <c r="G5" s="23">
        <v>0.16</v>
      </c>
      <c r="H5" s="183">
        <v>0.34</v>
      </c>
      <c r="I5" s="193">
        <v>1.36</v>
      </c>
      <c r="J5" s="188">
        <v>1.07</v>
      </c>
      <c r="K5" s="183">
        <v>0.07</v>
      </c>
    </row>
    <row r="6" spans="1:11" ht="13.5" thickBot="1">
      <c r="A6" s="55" t="s">
        <v>62</v>
      </c>
      <c r="B6" s="150">
        <v>48.75</v>
      </c>
      <c r="C6" s="189" t="s">
        <v>11</v>
      </c>
      <c r="D6" s="150">
        <v>1.39</v>
      </c>
      <c r="E6" s="214">
        <v>2.55</v>
      </c>
      <c r="F6" s="191">
        <v>0.09</v>
      </c>
      <c r="G6" s="191" t="s">
        <v>11</v>
      </c>
      <c r="H6" s="155">
        <v>0.11</v>
      </c>
      <c r="I6" s="185">
        <v>19.06</v>
      </c>
      <c r="J6" s="189">
        <v>1.57</v>
      </c>
      <c r="K6" s="155">
        <v>0.61</v>
      </c>
    </row>
    <row r="7" ht="13.5" thickBot="1"/>
    <row r="8" spans="1:12" ht="13.5" thickBot="1">
      <c r="A8" s="72"/>
      <c r="B8" s="441" t="s">
        <v>63</v>
      </c>
      <c r="C8" s="394"/>
      <c r="D8" s="393"/>
      <c r="E8" s="441" t="s">
        <v>64</v>
      </c>
      <c r="F8" s="394"/>
      <c r="G8" s="394"/>
      <c r="H8" s="394"/>
      <c r="I8" s="394"/>
      <c r="J8" s="394"/>
      <c r="K8" s="394"/>
      <c r="L8" s="393"/>
    </row>
    <row r="9" spans="1:12" ht="13.5" customHeight="1" thickBot="1">
      <c r="A9" s="50"/>
      <c r="B9" s="442" t="s">
        <v>65</v>
      </c>
      <c r="C9" s="444" t="s">
        <v>66</v>
      </c>
      <c r="D9" s="446" t="s">
        <v>67</v>
      </c>
      <c r="E9" s="441" t="s">
        <v>0</v>
      </c>
      <c r="F9" s="393"/>
      <c r="G9" s="441" t="s">
        <v>1</v>
      </c>
      <c r="H9" s="394"/>
      <c r="I9" s="393"/>
      <c r="J9" s="441" t="s">
        <v>2</v>
      </c>
      <c r="K9" s="393"/>
      <c r="L9" s="8" t="s">
        <v>3</v>
      </c>
    </row>
    <row r="10" spans="1:12" ht="66" thickBot="1">
      <c r="A10" s="169" t="s">
        <v>68</v>
      </c>
      <c r="B10" s="443"/>
      <c r="C10" s="445"/>
      <c r="D10" s="447"/>
      <c r="E10" s="207" t="s">
        <v>69</v>
      </c>
      <c r="F10" s="208" t="s">
        <v>70</v>
      </c>
      <c r="G10" s="209" t="s">
        <v>71</v>
      </c>
      <c r="H10" s="210" t="s">
        <v>72</v>
      </c>
      <c r="I10" s="206" t="s">
        <v>73</v>
      </c>
      <c r="J10" s="207" t="s">
        <v>74</v>
      </c>
      <c r="K10" s="208" t="s">
        <v>70</v>
      </c>
      <c r="L10" s="211" t="s">
        <v>75</v>
      </c>
    </row>
    <row r="11" spans="1:12" ht="12.75" customHeight="1">
      <c r="A11" s="448" t="s">
        <v>76</v>
      </c>
      <c r="B11" s="424">
        <v>50</v>
      </c>
      <c r="C11" s="425">
        <f>B11*2</f>
        <v>100</v>
      </c>
      <c r="D11" s="426">
        <v>11.5</v>
      </c>
      <c r="E11" s="450">
        <f>C11*D11*B$4/453.6</f>
        <v>22.79210758377425</v>
      </c>
      <c r="F11" s="433">
        <f>C11*C$4/453.6</f>
        <v>2.5925925925925926</v>
      </c>
      <c r="G11" s="450">
        <f>C11*D11*(D$4+H$4)/453.6</f>
        <v>2.3578042328042326</v>
      </c>
      <c r="H11" s="431">
        <f>C11*(E$4+F$4)/453.6</f>
        <v>0.341710758377425</v>
      </c>
      <c r="I11" s="433">
        <f>B11*8*G$4/453.6</f>
        <v>0.14991181657848324</v>
      </c>
      <c r="J11" s="435">
        <f>C11*D11*I$4/453.6</f>
        <v>2.2310405643738975</v>
      </c>
      <c r="K11" s="433">
        <f>C11*J$4/453.6</f>
        <v>0.15873015873015872</v>
      </c>
      <c r="L11" s="437">
        <f>C11*D11*K$4/453.6</f>
        <v>0.1267636684303351</v>
      </c>
    </row>
    <row r="12" spans="1:12" ht="12.75">
      <c r="A12" s="449"/>
      <c r="B12" s="406"/>
      <c r="C12" s="408"/>
      <c r="D12" s="410"/>
      <c r="E12" s="451"/>
      <c r="F12" s="434"/>
      <c r="G12" s="451"/>
      <c r="H12" s="432"/>
      <c r="I12" s="434"/>
      <c r="J12" s="436"/>
      <c r="K12" s="434"/>
      <c r="L12" s="438"/>
    </row>
    <row r="13" spans="1:12" s="194" customFormat="1" ht="12.75">
      <c r="A13" s="198" t="s">
        <v>77</v>
      </c>
      <c r="B13" s="193">
        <v>0</v>
      </c>
      <c r="C13" s="24">
        <f>B13</f>
        <v>0</v>
      </c>
      <c r="D13" s="188">
        <v>10</v>
      </c>
      <c r="E13" s="204">
        <f>C13*D13*B$4/453.6</f>
        <v>0</v>
      </c>
      <c r="F13" s="147">
        <f>C13*C$4/453.6</f>
        <v>0</v>
      </c>
      <c r="G13" s="204">
        <f>C13*D13*(D$4+H$4)/453.6</f>
        <v>0</v>
      </c>
      <c r="H13" s="28">
        <f>C13*(E$4+F$4)/453.6</f>
        <v>0</v>
      </c>
      <c r="I13" s="147">
        <f>B13*8*G$4/453.6</f>
        <v>0</v>
      </c>
      <c r="J13" s="200">
        <f>C13*D13*I$4/453.6</f>
        <v>0</v>
      </c>
      <c r="K13" s="147">
        <f>C13*J$4/453.6</f>
        <v>0</v>
      </c>
      <c r="L13" s="212">
        <f>C13*D13*K$4/453.6</f>
        <v>0</v>
      </c>
    </row>
    <row r="14" spans="1:12" s="194" customFormat="1" ht="12.75">
      <c r="A14" s="197" t="s">
        <v>61</v>
      </c>
      <c r="B14" s="193">
        <v>6</v>
      </c>
      <c r="C14" s="24">
        <f>B14*2</f>
        <v>12</v>
      </c>
      <c r="D14" s="188">
        <v>11.5</v>
      </c>
      <c r="E14" s="204">
        <f>C14*D14*B6/453.6</f>
        <v>14.831349206349206</v>
      </c>
      <c r="F14" s="147">
        <f>C14*C5/453.6</f>
        <v>0.36904761904761896</v>
      </c>
      <c r="G14" s="204">
        <f>C14*D14*(D6+H6)/453.6</f>
        <v>0.45634920634920634</v>
      </c>
      <c r="H14" s="28">
        <f>C14*(E5+F5)/453.6</f>
        <v>0.04285714285714286</v>
      </c>
      <c r="I14" s="147">
        <f>B14*8*G5/453.6</f>
        <v>0.01693121693121693</v>
      </c>
      <c r="J14" s="200">
        <f>I5*C14*D14/453.6</f>
        <v>0.41375661375661377</v>
      </c>
      <c r="K14" s="147">
        <f>J5*C14/453.6</f>
        <v>0.028306878306878305</v>
      </c>
      <c r="L14" s="212">
        <f>K5*C14*D14/453.6</f>
        <v>0.021296296296296296</v>
      </c>
    </row>
    <row r="15" spans="1:12" ht="26.25">
      <c r="A15" s="197" t="s">
        <v>78</v>
      </c>
      <c r="B15" s="193">
        <v>1</v>
      </c>
      <c r="C15" s="24">
        <f>B15*2</f>
        <v>2</v>
      </c>
      <c r="D15" s="188">
        <v>50</v>
      </c>
      <c r="E15" s="204">
        <f>C15*D15*B$6/453.6</f>
        <v>10.747354497354497</v>
      </c>
      <c r="F15" s="147" t="s">
        <v>11</v>
      </c>
      <c r="G15" s="204">
        <f>C15*D15*(D$6+H$6)/453.6</f>
        <v>0.3306878306878307</v>
      </c>
      <c r="H15" s="28">
        <f>C15*(E6+F6)/453.6</f>
        <v>0.011640211640211638</v>
      </c>
      <c r="I15" s="147" t="s">
        <v>11</v>
      </c>
      <c r="J15" s="200">
        <f>C15*D15*I$6/453.6</f>
        <v>4.201940035273368</v>
      </c>
      <c r="K15" s="147">
        <f>J5*C15/453.6</f>
        <v>0.004717813051146384</v>
      </c>
      <c r="L15" s="212">
        <f>K$6*C15*D15/453.6</f>
        <v>0.13447971781305115</v>
      </c>
    </row>
    <row r="16" spans="1:12" ht="13.5" thickBot="1">
      <c r="A16" s="199" t="s">
        <v>62</v>
      </c>
      <c r="B16" s="203">
        <v>1</v>
      </c>
      <c r="C16" s="97">
        <f>B16</f>
        <v>1</v>
      </c>
      <c r="D16" s="120">
        <v>4</v>
      </c>
      <c r="E16" s="205">
        <f>C16*D16*B$6/453.6</f>
        <v>0.4298941798941799</v>
      </c>
      <c r="F16" s="196" t="s">
        <v>11</v>
      </c>
      <c r="G16" s="205">
        <f>C16*D16*(D$6+H$6)/453.6</f>
        <v>0.013227513227513227</v>
      </c>
      <c r="H16" s="195">
        <f>C16*(E6+F6)/453.6</f>
        <v>0.005820105820105819</v>
      </c>
      <c r="I16" s="196" t="s">
        <v>11</v>
      </c>
      <c r="J16" s="201">
        <f>C16*D16*I$6/453.6</f>
        <v>0.16807760141093472</v>
      </c>
      <c r="K16" s="196">
        <f>J5*C16/453.6</f>
        <v>0.002358906525573192</v>
      </c>
      <c r="L16" s="177">
        <f>K$6*C16*D16/453.6</f>
        <v>0.005379188712522046</v>
      </c>
    </row>
    <row r="17" spans="1:12" ht="13.5" thickBot="1">
      <c r="A17" s="2"/>
      <c r="B17" s="6"/>
      <c r="C17" s="6"/>
      <c r="D17" s="6"/>
      <c r="E17" s="73"/>
      <c r="F17" s="73"/>
      <c r="G17" s="73"/>
      <c r="H17" s="73"/>
      <c r="I17" s="73"/>
      <c r="J17" s="73"/>
      <c r="K17" s="73"/>
      <c r="L17" s="73"/>
    </row>
    <row r="18" spans="1:12" ht="13.5" thickBot="1">
      <c r="A18" s="50" t="s">
        <v>68</v>
      </c>
      <c r="B18" s="441" t="s">
        <v>63</v>
      </c>
      <c r="C18" s="394"/>
      <c r="D18" s="393"/>
      <c r="E18" s="398" t="s">
        <v>0</v>
      </c>
      <c r="F18" s="399"/>
      <c r="G18" s="392" t="s">
        <v>1</v>
      </c>
      <c r="H18" s="439"/>
      <c r="I18" s="440"/>
      <c r="J18" s="392" t="s">
        <v>2</v>
      </c>
      <c r="K18" s="440"/>
      <c r="L18" s="74" t="s">
        <v>3</v>
      </c>
    </row>
    <row r="19" spans="1:12" ht="12.75" customHeight="1">
      <c r="A19" s="422" t="s">
        <v>79</v>
      </c>
      <c r="B19" s="424">
        <f>B11+B13</f>
        <v>50</v>
      </c>
      <c r="C19" s="425">
        <f>C11+C13</f>
        <v>100</v>
      </c>
      <c r="D19" s="426"/>
      <c r="E19" s="398">
        <f>E11+F11+E13+F13</f>
        <v>25.38470017636684</v>
      </c>
      <c r="F19" s="399"/>
      <c r="G19" s="398">
        <f>G11+H11+I11+G13+H13+I13</f>
        <v>2.849426807760141</v>
      </c>
      <c r="H19" s="427"/>
      <c r="I19" s="428"/>
      <c r="J19" s="398">
        <f>J11+K11+J13+K13</f>
        <v>2.389770723104056</v>
      </c>
      <c r="K19" s="399"/>
      <c r="L19" s="402">
        <f>L11+L13</f>
        <v>0.1267636684303351</v>
      </c>
    </row>
    <row r="20" spans="1:12" ht="12.75">
      <c r="A20" s="423"/>
      <c r="B20" s="406"/>
      <c r="C20" s="408"/>
      <c r="D20" s="410"/>
      <c r="E20" s="415"/>
      <c r="F20" s="419"/>
      <c r="G20" s="400"/>
      <c r="H20" s="429"/>
      <c r="I20" s="430"/>
      <c r="J20" s="400"/>
      <c r="K20" s="401"/>
      <c r="L20" s="403"/>
    </row>
    <row r="21" spans="1:12" ht="12.75" customHeight="1">
      <c r="A21" s="404" t="s">
        <v>80</v>
      </c>
      <c r="B21" s="406">
        <f>B14</f>
        <v>6</v>
      </c>
      <c r="C21" s="408">
        <f>C14</f>
        <v>12</v>
      </c>
      <c r="D21" s="410"/>
      <c r="E21" s="400">
        <f>E14+F14</f>
        <v>15.200396825396824</v>
      </c>
      <c r="F21" s="401"/>
      <c r="G21" s="412">
        <f>G14+H14+I14</f>
        <v>0.5161375661375661</v>
      </c>
      <c r="H21" s="413"/>
      <c r="I21" s="414"/>
      <c r="J21" s="412">
        <f>J14+K14</f>
        <v>0.44206349206349205</v>
      </c>
      <c r="K21" s="418"/>
      <c r="L21" s="420">
        <f>L14</f>
        <v>0.021296296296296296</v>
      </c>
    </row>
    <row r="22" spans="1:12" ht="15.75" customHeight="1">
      <c r="A22" s="405"/>
      <c r="B22" s="407"/>
      <c r="C22" s="409"/>
      <c r="D22" s="411"/>
      <c r="E22" s="415"/>
      <c r="F22" s="419"/>
      <c r="G22" s="415"/>
      <c r="H22" s="416"/>
      <c r="I22" s="417"/>
      <c r="J22" s="415"/>
      <c r="K22" s="419"/>
      <c r="L22" s="421"/>
    </row>
    <row r="23" spans="1:12" ht="27.75" customHeight="1" thickBot="1">
      <c r="A23" s="170" t="s">
        <v>81</v>
      </c>
      <c r="B23" s="203">
        <f>B16+B15</f>
        <v>2</v>
      </c>
      <c r="C23" s="97">
        <f>+C15+C16</f>
        <v>3</v>
      </c>
      <c r="D23" s="120"/>
      <c r="E23" s="395">
        <f>+E15+E16</f>
        <v>11.177248677248677</v>
      </c>
      <c r="F23" s="396"/>
      <c r="G23" s="395">
        <f>G15+G16+H15+H16</f>
        <v>0.3613756613756614</v>
      </c>
      <c r="H23" s="397"/>
      <c r="I23" s="396"/>
      <c r="J23" s="395">
        <f>J16+J15+K15+K16</f>
        <v>4.377094356261022</v>
      </c>
      <c r="K23" s="396"/>
      <c r="L23" s="111">
        <f>L16+L15</f>
        <v>0.1398589065255732</v>
      </c>
    </row>
    <row r="24" spans="1:12" ht="13.5" thickBot="1">
      <c r="A24" s="9" t="s">
        <v>82</v>
      </c>
      <c r="B24" s="1"/>
      <c r="C24" s="2"/>
      <c r="D24" s="3"/>
      <c r="E24" s="392">
        <f>SUM(E19:F23)</f>
        <v>51.76234567901234</v>
      </c>
      <c r="F24" s="393"/>
      <c r="G24" s="392">
        <f>SUM(G19:I23)</f>
        <v>3.7269400352733686</v>
      </c>
      <c r="H24" s="394"/>
      <c r="I24" s="393"/>
      <c r="J24" s="392">
        <f>SUM(J19:K23)</f>
        <v>7.2089285714285705</v>
      </c>
      <c r="K24" s="393"/>
      <c r="L24" s="74">
        <f>SUM(L19:L23)</f>
        <v>0.2879188712522046</v>
      </c>
    </row>
    <row r="26" ht="12.75">
      <c r="A26" s="14" t="s">
        <v>118</v>
      </c>
    </row>
    <row r="27" ht="12.75">
      <c r="A27" s="14" t="s">
        <v>119</v>
      </c>
    </row>
    <row r="28" ht="12.75">
      <c r="A28" s="14" t="s">
        <v>120</v>
      </c>
    </row>
    <row r="29" ht="12.75">
      <c r="A29" s="14" t="s">
        <v>121</v>
      </c>
    </row>
    <row r="30" ht="12.75">
      <c r="L30" s="64"/>
    </row>
    <row r="31" ht="12.75">
      <c r="L31" s="64"/>
    </row>
  </sheetData>
  <sheetProtection/>
  <mergeCells count="50">
    <mergeCell ref="I2:J2"/>
    <mergeCell ref="A2:A3"/>
    <mergeCell ref="B18:D18"/>
    <mergeCell ref="E9:F9"/>
    <mergeCell ref="E11:E12"/>
    <mergeCell ref="F11:F12"/>
    <mergeCell ref="G9:I9"/>
    <mergeCell ref="J9:K9"/>
    <mergeCell ref="B2:C2"/>
    <mergeCell ref="D2:H2"/>
    <mergeCell ref="A11:A12"/>
    <mergeCell ref="B11:B12"/>
    <mergeCell ref="C11:C12"/>
    <mergeCell ref="D11:D12"/>
    <mergeCell ref="G11:G12"/>
    <mergeCell ref="E18:F18"/>
    <mergeCell ref="G18:I18"/>
    <mergeCell ref="J18:K18"/>
    <mergeCell ref="B8:D8"/>
    <mergeCell ref="B9:B10"/>
    <mergeCell ref="C9:C10"/>
    <mergeCell ref="D9:D10"/>
    <mergeCell ref="E8:L8"/>
    <mergeCell ref="H11:H12"/>
    <mergeCell ref="I11:I12"/>
    <mergeCell ref="J11:J12"/>
    <mergeCell ref="K11:K12"/>
    <mergeCell ref="L11:L12"/>
    <mergeCell ref="J19:K20"/>
    <mergeCell ref="L19:L20"/>
    <mergeCell ref="A21:A22"/>
    <mergeCell ref="B21:B22"/>
    <mergeCell ref="C21:C22"/>
    <mergeCell ref="D21:D22"/>
    <mergeCell ref="G21:I22"/>
    <mergeCell ref="J21:K22"/>
    <mergeCell ref="E21:F22"/>
    <mergeCell ref="L21:L22"/>
    <mergeCell ref="A19:A20"/>
    <mergeCell ref="B19:B20"/>
    <mergeCell ref="C19:C20"/>
    <mergeCell ref="D19:D20"/>
    <mergeCell ref="E19:F20"/>
    <mergeCell ref="G19:I20"/>
    <mergeCell ref="E24:F24"/>
    <mergeCell ref="G24:I24"/>
    <mergeCell ref="J24:K24"/>
    <mergeCell ref="E23:F23"/>
    <mergeCell ref="G23:I23"/>
    <mergeCell ref="J23:K23"/>
  </mergeCells>
  <printOptions horizontalCentered="1"/>
  <pageMargins left="0.75" right="0.75" top="1.75" bottom="0.5" header="0.75" footer="0.5"/>
  <pageSetup firstPageNumber="3" useFirstPageNumber="1" horizontalDpi="600" verticalDpi="600" orientation="landscape" scale="90" r:id="rId1"/>
  <headerFooter alignWithMargins="0">
    <oddHeader>&amp;C&amp;"Arial,Bold"&amp;12TABLE A-9
Construction Vehicle Emissions for Storage Tank and Related Facility Modifications 
Month 1
</oddHeader>
    <oddFooter>&amp;L&amp;8N:\2105\&amp;F:&amp;A&amp;R&amp;8&amp;D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Sasaki</dc:creator>
  <cp:keywords/>
  <dc:description/>
  <cp:lastModifiedBy>dsasaki</cp:lastModifiedBy>
  <cp:lastPrinted>2002-08-09T16:33:08Z</cp:lastPrinted>
  <dcterms:created xsi:type="dcterms:W3CDTF">2001-03-17T00:01:53Z</dcterms:created>
  <dcterms:modified xsi:type="dcterms:W3CDTF">2014-08-06T19:11:28Z</dcterms:modified>
  <cp:category/>
  <cp:version/>
  <cp:contentType/>
  <cp:contentStatus/>
</cp:coreProperties>
</file>