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2" windowWidth="11328" windowHeight="6516" tabRatio="538" activeTab="0"/>
  </bookViews>
  <sheets>
    <sheet name="Table B1" sheetId="1" r:id="rId1"/>
    <sheet name="Table B2" sheetId="2" r:id="rId2"/>
  </sheets>
  <definedNames/>
  <calcPr fullCalcOnLoad="1"/>
</workbook>
</file>

<file path=xl/sharedStrings.xml><?xml version="1.0" encoding="utf-8"?>
<sst xmlns="http://schemas.openxmlformats.org/spreadsheetml/2006/main" count="177" uniqueCount="108">
  <si>
    <t>SUM</t>
  </si>
  <si>
    <t>(lb/hr)</t>
  </si>
  <si>
    <t>Benzene</t>
  </si>
  <si>
    <t>Formaldehyde</t>
  </si>
  <si>
    <t>Toluene</t>
  </si>
  <si>
    <t>Naphthalene</t>
  </si>
  <si>
    <t>Emission Factor</t>
  </si>
  <si>
    <t>Substance</t>
  </si>
  <si>
    <t>Exceed Thresholds??</t>
  </si>
  <si>
    <t>Worker</t>
  </si>
  <si>
    <t>Significance Threshold</t>
  </si>
  <si>
    <t>Max. Hourly Gas Usage (MMcf/hr)</t>
  </si>
  <si>
    <t>Chronic and acute HI values summed across all target organs; results are conservative</t>
  </si>
  <si>
    <t>VOC Control factor:</t>
  </si>
  <si>
    <t>Hexane</t>
  </si>
  <si>
    <t>(lb/MMcf)</t>
  </si>
  <si>
    <t>Operating Data</t>
  </si>
  <si>
    <t>Number of Reformers</t>
  </si>
  <si>
    <t>Total Annual Gas Usage (MMcf/yr)</t>
  </si>
  <si>
    <t>Dispersion Modeling Results</t>
  </si>
  <si>
    <t>Max. 1-Hr. X/Q</t>
  </si>
  <si>
    <t>Max. Resident 1-Hr X/Q</t>
  </si>
  <si>
    <t>Max. Worker 1-Hr X/Q</t>
  </si>
  <si>
    <t>Max. Resident Annual Avg. X/Q</t>
  </si>
  <si>
    <t>Max. Worker Annual Avg. X/Q</t>
  </si>
  <si>
    <t>Worker LEA:</t>
  </si>
  <si>
    <t>Emission Rates</t>
  </si>
  <si>
    <t>Max. 1-Hr</t>
  </si>
  <si>
    <t>Res. Max.</t>
  </si>
  <si>
    <t xml:space="preserve">Cancer </t>
  </si>
  <si>
    <t>Chronic</t>
  </si>
  <si>
    <t>Acute</t>
  </si>
  <si>
    <t>Maximum</t>
  </si>
  <si>
    <t>Hourly</t>
  </si>
  <si>
    <t>Annual</t>
  </si>
  <si>
    <t>Conc</t>
  </si>
  <si>
    <t>Ann. Conc.</t>
  </si>
  <si>
    <t>Max. Ann</t>
  </si>
  <si>
    <t>Inh URF</t>
  </si>
  <si>
    <t>Cancer</t>
  </si>
  <si>
    <t>Inh REL</t>
  </si>
  <si>
    <t>REL</t>
  </si>
  <si>
    <t>REL Avg.</t>
  </si>
  <si>
    <t>Resident</t>
  </si>
  <si>
    <t>(g/sec)</t>
  </si>
  <si>
    <t>(lb/yr)</t>
  </si>
  <si>
    <t>(ug/m3)</t>
  </si>
  <si>
    <t>Conc (ug/m3)</t>
  </si>
  <si>
    <t>(ug/m3)-1</t>
  </si>
  <si>
    <t>MPF</t>
  </si>
  <si>
    <t>Time (hrs)</t>
  </si>
  <si>
    <t>Cancer Risk</t>
  </si>
  <si>
    <t>HI</t>
  </si>
  <si>
    <t>N/A</t>
  </si>
  <si>
    <t>Acetaldehyde</t>
  </si>
  <si>
    <t>Acrolein</t>
  </si>
  <si>
    <t>Propylene</t>
  </si>
  <si>
    <t>Xylenes</t>
  </si>
  <si>
    <t>Ethyl Benzene</t>
  </si>
  <si>
    <t>PAH (non-naphthalene)</t>
  </si>
  <si>
    <t>Resident 440 meters from the source</t>
  </si>
  <si>
    <t>Worker 600 meters from the source</t>
  </si>
  <si>
    <t>Max. Offsite Location at 400m</t>
  </si>
  <si>
    <t>Ammonia</t>
  </si>
  <si>
    <r>
      <t>Ammonia Emissions were computed at 9ppm ( 3 % 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) </t>
    </r>
  </si>
  <si>
    <r>
      <t xml:space="preserve">Potency and MPF values obtained from the </t>
    </r>
    <r>
      <rPr>
        <i/>
        <sz val="8"/>
        <rFont val="Times New Roman"/>
        <family val="1"/>
      </rPr>
      <t>South Coast AQMD Risk Assessment Procedures for Rules 1401 and 212</t>
    </r>
    <r>
      <rPr>
        <sz val="8"/>
        <rFont val="Times New Roman"/>
        <family val="1"/>
      </rPr>
      <t xml:space="preserve"> guidance document (May 3, 2002)</t>
    </r>
  </si>
  <si>
    <t>SCAQMD Emission Factors used.</t>
  </si>
  <si>
    <t>Reformer Rating (MMBtu/hr)</t>
  </si>
  <si>
    <t>Average Hourly</t>
  </si>
  <si>
    <t>Modeled</t>
  </si>
  <si>
    <t>Avg.</t>
  </si>
  <si>
    <t>Emissions</t>
  </si>
  <si>
    <t xml:space="preserve">1-hr </t>
  </si>
  <si>
    <t xml:space="preserve">Persistence </t>
  </si>
  <si>
    <t>Adjusted</t>
  </si>
  <si>
    <t>Conc.</t>
  </si>
  <si>
    <t>Time</t>
  </si>
  <si>
    <t>X/Q</t>
  </si>
  <si>
    <t>Factor</t>
  </si>
  <si>
    <t>1-hr</t>
  </si>
  <si>
    <t>PM10</t>
  </si>
  <si>
    <t>24-hour</t>
  </si>
  <si>
    <t>CO</t>
  </si>
  <si>
    <t>8-hr</t>
  </si>
  <si>
    <t>Background</t>
  </si>
  <si>
    <t>Total</t>
  </si>
  <si>
    <t>Sig.</t>
  </si>
  <si>
    <t>Exceed</t>
  </si>
  <si>
    <t>California</t>
  </si>
  <si>
    <t>Federal</t>
  </si>
  <si>
    <t>Threshold?</t>
  </si>
  <si>
    <t>None</t>
  </si>
  <si>
    <t>NA</t>
  </si>
  <si>
    <t>NOx (SU/SD)</t>
  </si>
  <si>
    <t>CO (SU/SD)</t>
  </si>
  <si>
    <r>
      <t>(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</si>
  <si>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NO</t>
    </r>
    <r>
      <rPr>
        <vertAlign val="subscript"/>
        <sz val="10"/>
        <rFont val="Times New Roman"/>
        <family val="1"/>
      </rPr>
      <t>x</t>
    </r>
  </si>
  <si>
    <r>
      <t>NOx (SU/SD)</t>
    </r>
    <r>
      <rPr>
        <vertAlign val="superscript"/>
        <sz val="10"/>
        <rFont val="Times New Roman"/>
        <family val="1"/>
      </rPr>
      <t>1</t>
    </r>
  </si>
  <si>
    <r>
      <t>NO</t>
    </r>
    <r>
      <rPr>
        <vertAlign val="subscript"/>
        <sz val="10"/>
        <rFont val="Times New Roman"/>
        <family val="1"/>
      </rPr>
      <t>x</t>
    </r>
    <r>
      <rPr>
        <vertAlign val="superscript"/>
        <sz val="10"/>
        <rFont val="Times New Roman"/>
        <family val="1"/>
      </rPr>
      <t>2</t>
    </r>
  </si>
  <si>
    <r>
      <t>CO (SU/SD)</t>
    </r>
    <r>
      <rPr>
        <vertAlign val="superscript"/>
        <sz val="10"/>
        <rFont val="Times New Roman"/>
        <family val="1"/>
      </rPr>
      <t>1</t>
    </r>
  </si>
  <si>
    <r>
      <t>Standard (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</si>
  <si>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Conc.</t>
    </r>
    <r>
      <rPr>
        <b/>
        <vertAlign val="superscript"/>
        <sz val="10"/>
        <rFont val="Times New Roman"/>
        <family val="1"/>
      </rPr>
      <t>3</t>
    </r>
  </si>
  <si>
    <r>
      <t>NO</t>
    </r>
    <r>
      <rPr>
        <vertAlign val="subscript"/>
        <sz val="10"/>
        <rFont val="Times New Roman"/>
        <family val="1"/>
      </rPr>
      <t xml:space="preserve">x </t>
    </r>
  </si>
  <si>
    <r>
      <t>PM10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</si>
  <si>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 xml:space="preserve"> SU/SD = Maximum Reformer startup or shutdown emission rate. Duration of startup and shutdown is 24 hours and 4 hours respectively.</t>
    </r>
  </si>
  <si>
    <r>
      <t>2</t>
    </r>
    <r>
      <rPr>
        <sz val="8"/>
        <rFont val="Times New Roman"/>
        <family val="1"/>
      </rPr>
      <t xml:space="preserve"> Assumes 9 startups and shutdowns. </t>
    </r>
  </si>
  <si>
    <r>
      <t>3</t>
    </r>
    <r>
      <rPr>
        <sz val="8"/>
        <rFont val="Times New Roman"/>
        <family val="1"/>
      </rPr>
      <t>The highest background concentration over 3 years was assumed as project background concentration.</t>
    </r>
  </si>
  <si>
    <r>
      <t>4</t>
    </r>
    <r>
      <rPr>
        <sz val="8"/>
        <rFont val="Times New Roman"/>
        <family val="1"/>
      </rPr>
      <t>Significance concentrations used as the Background concentrations exceed the CAAQS standard.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</si>
</sst>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E+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vertAlign val="subscript"/>
      <sz val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0"/>
      <name val="Symbol"/>
      <family val="1"/>
    </font>
    <font>
      <b/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double"/>
      <right style="thin"/>
      <top/>
      <bottom style="double"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/>
      <right style="double"/>
      <top/>
      <bottom/>
    </border>
    <border>
      <left style="double"/>
      <right style="thin"/>
      <top style="double"/>
      <bottom/>
    </border>
    <border>
      <left style="double"/>
      <right style="double"/>
      <top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/>
      <bottom style="double"/>
    </border>
    <border>
      <left style="thin"/>
      <right/>
      <top/>
      <bottom style="double"/>
    </border>
    <border>
      <left style="thin"/>
      <right/>
      <top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 style="thin"/>
    </border>
    <border>
      <left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1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1" fontId="2" fillId="0" borderId="1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1" fontId="2" fillId="0" borderId="17" xfId="0" applyNumberFormat="1" applyFont="1" applyBorder="1" applyAlignment="1">
      <alignment horizontal="center"/>
    </xf>
    <xf numFmtId="11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1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1" fontId="2" fillId="0" borderId="19" xfId="0" applyNumberFormat="1" applyFont="1" applyBorder="1" applyAlignment="1">
      <alignment horizontal="center"/>
    </xf>
    <xf numFmtId="11" fontId="2" fillId="0" borderId="20" xfId="0" applyNumberFormat="1" applyFont="1" applyBorder="1" applyAlignment="1">
      <alignment horizontal="center"/>
    </xf>
    <xf numFmtId="11" fontId="2" fillId="0" borderId="13" xfId="0" applyNumberFormat="1" applyFont="1" applyFill="1" applyBorder="1" applyAlignment="1">
      <alignment horizontal="center"/>
    </xf>
    <xf numFmtId="11" fontId="2" fillId="0" borderId="13" xfId="0" applyNumberFormat="1" applyFont="1" applyBorder="1" applyAlignment="1">
      <alignment horizontal="center"/>
    </xf>
    <xf numFmtId="11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6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7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7" fontId="2" fillId="0" borderId="18" xfId="0" applyNumberFormat="1" applyFont="1" applyBorder="1" applyAlignment="1">
      <alignment horizontal="center"/>
    </xf>
    <xf numFmtId="167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 horizontal="center"/>
    </xf>
    <xf numFmtId="167" fontId="9" fillId="0" borderId="37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38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167" fontId="10" fillId="0" borderId="18" xfId="0" applyNumberFormat="1" applyFont="1" applyBorder="1" applyAlignment="1">
      <alignment horizontal="center"/>
    </xf>
    <xf numFmtId="167" fontId="10" fillId="0" borderId="37" xfId="0" applyNumberFormat="1" applyFont="1" applyBorder="1" applyAlignment="1">
      <alignment horizontal="center"/>
    </xf>
    <xf numFmtId="166" fontId="10" fillId="0" borderId="15" xfId="0" applyNumberFormat="1" applyFont="1" applyBorder="1" applyAlignment="1">
      <alignment horizontal="center"/>
    </xf>
    <xf numFmtId="166" fontId="10" fillId="0" borderId="3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11" fontId="2" fillId="0" borderId="15" xfId="0" applyNumberFormat="1" applyFont="1" applyFill="1" applyBorder="1" applyAlignment="1" quotePrefix="1">
      <alignment horizontal="center"/>
    </xf>
    <xf numFmtId="166" fontId="2" fillId="0" borderId="0" xfId="0" applyNumberFormat="1" applyFont="1" applyFill="1" applyBorder="1" applyAlignment="1">
      <alignment horizontal="right"/>
    </xf>
    <xf numFmtId="11" fontId="2" fillId="0" borderId="0" xfId="0" applyNumberFormat="1" applyFont="1" applyFill="1" applyBorder="1" applyAlignment="1">
      <alignment horizontal="center"/>
    </xf>
    <xf numFmtId="0" fontId="2" fillId="0" borderId="19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37" xfId="0" applyFont="1" applyBorder="1" applyAlignment="1" quotePrefix="1">
      <alignment horizontal="center"/>
    </xf>
    <xf numFmtId="11" fontId="2" fillId="0" borderId="37" xfId="0" applyNumberFormat="1" applyFont="1" applyBorder="1" applyAlignment="1">
      <alignment horizontal="center"/>
    </xf>
    <xf numFmtId="167" fontId="2" fillId="0" borderId="39" xfId="0" applyNumberFormat="1" applyFont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11" fontId="2" fillId="0" borderId="14" xfId="0" applyNumberFormat="1" applyFont="1" applyBorder="1" applyAlignment="1">
      <alignment horizontal="center"/>
    </xf>
    <xf numFmtId="0" fontId="2" fillId="0" borderId="18" xfId="0" applyFont="1" applyFill="1" applyBorder="1" applyAlignment="1">
      <alignment/>
    </xf>
    <xf numFmtId="11" fontId="2" fillId="0" borderId="38" xfId="0" applyNumberFormat="1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1" fontId="9" fillId="0" borderId="0" xfId="0" applyNumberFormat="1" applyFont="1" applyBorder="1" applyAlignment="1">
      <alignment/>
    </xf>
    <xf numFmtId="0" fontId="2" fillId="0" borderId="2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9" fontId="2" fillId="0" borderId="0" xfId="59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55" applyFont="1">
      <alignment/>
      <protection/>
    </xf>
    <xf numFmtId="0" fontId="3" fillId="0" borderId="0" xfId="55" applyFont="1" applyBorder="1">
      <alignment/>
      <protection/>
    </xf>
    <xf numFmtId="0" fontId="8" fillId="0" borderId="10" xfId="56" applyFont="1" applyBorder="1" applyAlignment="1">
      <alignment horizontal="center"/>
      <protection/>
    </xf>
    <xf numFmtId="0" fontId="8" fillId="0" borderId="26" xfId="56" applyFont="1" applyBorder="1" applyAlignment="1">
      <alignment horizontal="center"/>
      <protection/>
    </xf>
    <xf numFmtId="0" fontId="8" fillId="0" borderId="39" xfId="56" applyFont="1" applyFill="1" applyBorder="1" applyAlignment="1">
      <alignment horizontal="centerContinuous"/>
      <protection/>
    </xf>
    <xf numFmtId="0" fontId="8" fillId="0" borderId="22" xfId="56" applyFont="1" applyFill="1" applyBorder="1" applyAlignment="1">
      <alignment horizontal="centerContinuous"/>
      <protection/>
    </xf>
    <xf numFmtId="0" fontId="3" fillId="0" borderId="26" xfId="55" applyFont="1" applyBorder="1">
      <alignment/>
      <protection/>
    </xf>
    <xf numFmtId="0" fontId="8" fillId="0" borderId="24" xfId="56" applyFont="1" applyFill="1" applyBorder="1" applyAlignment="1">
      <alignment/>
      <protection/>
    </xf>
    <xf numFmtId="0" fontId="8" fillId="0" borderId="19" xfId="56" applyFont="1" applyBorder="1" applyAlignment="1">
      <alignment horizontal="center"/>
      <protection/>
    </xf>
    <xf numFmtId="0" fontId="8" fillId="0" borderId="0" xfId="56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0" fontId="8" fillId="0" borderId="11" xfId="56" applyFont="1" applyBorder="1" applyAlignment="1">
      <alignment horizontal="center"/>
      <protection/>
    </xf>
    <xf numFmtId="0" fontId="8" fillId="0" borderId="40" xfId="56" applyFont="1" applyBorder="1" applyAlignment="1">
      <alignment horizontal="center"/>
      <protection/>
    </xf>
    <xf numFmtId="0" fontId="8" fillId="0" borderId="41" xfId="56" applyFont="1" applyFill="1" applyBorder="1" applyAlignment="1">
      <alignment horizontal="centerContinuous"/>
      <protection/>
    </xf>
    <xf numFmtId="0" fontId="8" fillId="0" borderId="42" xfId="56" applyFont="1" applyFill="1" applyBorder="1" applyAlignment="1">
      <alignment horizontal="centerContinuous"/>
      <protection/>
    </xf>
    <xf numFmtId="0" fontId="8" fillId="0" borderId="40" xfId="55" applyFont="1" applyBorder="1" applyAlignment="1">
      <alignment horizontal="center"/>
      <protection/>
    </xf>
    <xf numFmtId="0" fontId="8" fillId="0" borderId="40" xfId="55" applyFont="1" applyFill="1" applyBorder="1" applyAlignment="1">
      <alignment horizontal="center"/>
      <protection/>
    </xf>
    <xf numFmtId="0" fontId="8" fillId="0" borderId="37" xfId="56" applyFont="1" applyFill="1" applyBorder="1" applyAlignment="1">
      <alignment horizontal="center"/>
      <protection/>
    </xf>
    <xf numFmtId="0" fontId="8" fillId="0" borderId="17" xfId="56" applyFont="1" applyBorder="1" applyAlignment="1">
      <alignment horizontal="center"/>
      <protection/>
    </xf>
    <xf numFmtId="0" fontId="8" fillId="0" borderId="0" xfId="56" applyFont="1" applyFill="1" applyBorder="1" applyAlignment="1" quotePrefix="1">
      <alignment horizontal="center"/>
      <protection/>
    </xf>
    <xf numFmtId="0" fontId="8" fillId="0" borderId="12" xfId="56" applyFont="1" applyBorder="1" applyAlignment="1">
      <alignment horizontal="center"/>
      <protection/>
    </xf>
    <xf numFmtId="0" fontId="8" fillId="0" borderId="43" xfId="56" applyFont="1" applyBorder="1" applyAlignment="1">
      <alignment horizontal="center"/>
      <protection/>
    </xf>
    <xf numFmtId="0" fontId="8" fillId="0" borderId="14" xfId="56" applyFont="1" applyFill="1" applyBorder="1" applyAlignment="1" quotePrefix="1">
      <alignment horizontal="center"/>
      <protection/>
    </xf>
    <xf numFmtId="0" fontId="8" fillId="0" borderId="44" xfId="56" applyFont="1" applyFill="1" applyBorder="1" applyAlignment="1">
      <alignment horizontal="center"/>
      <protection/>
    </xf>
    <xf numFmtId="0" fontId="8" fillId="0" borderId="43" xfId="56" applyFont="1" applyFill="1" applyBorder="1" applyAlignment="1">
      <alignment horizontal="center"/>
      <protection/>
    </xf>
    <xf numFmtId="0" fontId="8" fillId="0" borderId="35" xfId="56" applyFont="1" applyFill="1" applyBorder="1" applyAlignment="1">
      <alignment horizontal="center"/>
      <protection/>
    </xf>
    <xf numFmtId="0" fontId="8" fillId="0" borderId="20" xfId="56" applyFont="1" applyBorder="1" applyAlignment="1" quotePrefix="1">
      <alignment horizontal="center"/>
      <protection/>
    </xf>
    <xf numFmtId="0" fontId="8" fillId="0" borderId="0" xfId="56" applyFont="1" applyBorder="1" applyAlignment="1" quotePrefix="1">
      <alignment horizontal="center"/>
      <protection/>
    </xf>
    <xf numFmtId="0" fontId="3" fillId="0" borderId="11" xfId="56" applyFont="1" applyBorder="1" applyAlignment="1" quotePrefix="1">
      <alignment horizontal="left"/>
      <protection/>
    </xf>
    <xf numFmtId="0" fontId="3" fillId="0" borderId="40" xfId="56" applyFont="1" applyBorder="1" applyAlignment="1">
      <alignment horizontal="center"/>
      <protection/>
    </xf>
    <xf numFmtId="4" fontId="3" fillId="0" borderId="18" xfId="56" applyNumberFormat="1" applyFont="1" applyBorder="1" applyAlignment="1">
      <alignment horizontal="center"/>
      <protection/>
    </xf>
    <xf numFmtId="2" fontId="3" fillId="0" borderId="45" xfId="56" applyNumberFormat="1" applyFont="1" applyBorder="1" applyAlignment="1">
      <alignment horizontal="center"/>
      <protection/>
    </xf>
    <xf numFmtId="2" fontId="3" fillId="0" borderId="26" xfId="55" applyNumberFormat="1" applyFont="1" applyBorder="1" applyAlignment="1">
      <alignment horizontal="center"/>
      <protection/>
    </xf>
    <xf numFmtId="0" fontId="3" fillId="0" borderId="40" xfId="55" applyFont="1" applyBorder="1" applyAlignment="1">
      <alignment horizontal="center"/>
      <protection/>
    </xf>
    <xf numFmtId="2" fontId="3" fillId="0" borderId="37" xfId="56" applyNumberFormat="1" applyFont="1" applyFill="1" applyBorder="1" applyAlignment="1" quotePrefix="1">
      <alignment horizontal="center"/>
      <protection/>
    </xf>
    <xf numFmtId="2" fontId="3" fillId="0" borderId="38" xfId="56" applyNumberFormat="1" applyFont="1" applyBorder="1" applyAlignment="1">
      <alignment horizontal="center"/>
      <protection/>
    </xf>
    <xf numFmtId="2" fontId="3" fillId="0" borderId="0" xfId="55" applyNumberFormat="1" applyFont="1" applyBorder="1" applyAlignment="1">
      <alignment horizontal="center"/>
      <protection/>
    </xf>
    <xf numFmtId="2" fontId="3" fillId="0" borderId="40" xfId="55" applyNumberFormat="1" applyFont="1" applyBorder="1" applyAlignment="1">
      <alignment horizontal="center"/>
      <protection/>
    </xf>
    <xf numFmtId="2" fontId="3" fillId="0" borderId="37" xfId="56" applyNumberFormat="1" applyFont="1" applyFill="1" applyBorder="1" applyAlignment="1">
      <alignment horizontal="center"/>
      <protection/>
    </xf>
    <xf numFmtId="0" fontId="3" fillId="0" borderId="11" xfId="56" applyFont="1" applyBorder="1">
      <alignment/>
      <protection/>
    </xf>
    <xf numFmtId="0" fontId="3" fillId="0" borderId="40" xfId="56" applyFont="1" applyBorder="1" applyAlignment="1" quotePrefix="1">
      <alignment horizontal="left"/>
      <protection/>
    </xf>
    <xf numFmtId="165" fontId="3" fillId="0" borderId="45" xfId="56" applyNumberFormat="1" applyFont="1" applyBorder="1" applyAlignment="1">
      <alignment horizontal="center"/>
      <protection/>
    </xf>
    <xf numFmtId="2" fontId="3" fillId="0" borderId="38" xfId="56" applyNumberFormat="1" applyFont="1" applyFill="1" applyBorder="1" applyAlignment="1">
      <alignment horizontal="center"/>
      <protection/>
    </xf>
    <xf numFmtId="0" fontId="3" fillId="0" borderId="11" xfId="56" applyFont="1" applyFill="1" applyBorder="1" applyAlignment="1" quotePrefix="1">
      <alignment horizontal="left"/>
      <protection/>
    </xf>
    <xf numFmtId="0" fontId="3" fillId="0" borderId="40" xfId="56" applyFont="1" applyFill="1" applyBorder="1" applyAlignment="1">
      <alignment horizontal="center"/>
      <protection/>
    </xf>
    <xf numFmtId="4" fontId="3" fillId="0" borderId="18" xfId="56" applyNumberFormat="1" applyFont="1" applyFill="1" applyBorder="1" applyAlignment="1">
      <alignment horizontal="center"/>
      <protection/>
    </xf>
    <xf numFmtId="2" fontId="3" fillId="0" borderId="45" xfId="56" applyNumberFormat="1" applyFont="1" applyFill="1" applyBorder="1" applyAlignment="1">
      <alignment horizontal="center"/>
      <protection/>
    </xf>
    <xf numFmtId="0" fontId="3" fillId="0" borderId="43" xfId="56" applyFont="1" applyBorder="1" applyAlignment="1" quotePrefix="1">
      <alignment horizontal="left"/>
      <protection/>
    </xf>
    <xf numFmtId="0" fontId="3" fillId="0" borderId="43" xfId="56" applyFont="1" applyFill="1" applyBorder="1" applyAlignment="1">
      <alignment horizontal="center"/>
      <protection/>
    </xf>
    <xf numFmtId="4" fontId="3" fillId="0" borderId="14" xfId="56" applyNumberFormat="1" applyFont="1" applyBorder="1" applyAlignment="1">
      <alignment horizontal="center"/>
      <protection/>
    </xf>
    <xf numFmtId="165" fontId="3" fillId="0" borderId="44" xfId="56" applyNumberFormat="1" applyFont="1" applyBorder="1" applyAlignment="1">
      <alignment horizontal="center"/>
      <protection/>
    </xf>
    <xf numFmtId="2" fontId="3" fillId="0" borderId="43" xfId="55" applyNumberFormat="1" applyFont="1" applyBorder="1" applyAlignment="1">
      <alignment horizontal="center"/>
      <protection/>
    </xf>
    <xf numFmtId="0" fontId="3" fillId="0" borderId="43" xfId="55" applyFont="1" applyBorder="1" applyAlignment="1">
      <alignment horizontal="center"/>
      <protection/>
    </xf>
    <xf numFmtId="2" fontId="3" fillId="0" borderId="35" xfId="56" applyNumberFormat="1" applyFont="1" applyFill="1" applyBorder="1" applyAlignment="1" quotePrefix="1">
      <alignment horizontal="center"/>
      <protection/>
    </xf>
    <xf numFmtId="2" fontId="3" fillId="0" borderId="20" xfId="56" applyNumberFormat="1" applyFont="1" applyFill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4" fontId="3" fillId="0" borderId="0" xfId="56" applyNumberFormat="1" applyFont="1" applyBorder="1" applyAlignment="1">
      <alignment horizontal="center"/>
      <protection/>
    </xf>
    <xf numFmtId="165" fontId="3" fillId="0" borderId="0" xfId="56" applyNumberFormat="1" applyFont="1" applyBorder="1" applyAlignment="1">
      <alignment horizontal="center"/>
      <protection/>
    </xf>
    <xf numFmtId="0" fontId="3" fillId="0" borderId="0" xfId="56" applyFont="1" applyFill="1" applyBorder="1" applyAlignment="1" quotePrefix="1">
      <alignment horizontal="center"/>
      <protection/>
    </xf>
    <xf numFmtId="2" fontId="3" fillId="0" borderId="0" xfId="56" applyNumberFormat="1" applyFont="1" applyBorder="1" applyAlignment="1">
      <alignment horizontal="center"/>
      <protection/>
    </xf>
    <xf numFmtId="0" fontId="3" fillId="0" borderId="0" xfId="56" applyNumberFormat="1" applyFont="1" applyBorder="1" applyAlignment="1">
      <alignment horizontal="center"/>
      <protection/>
    </xf>
    <xf numFmtId="4" fontId="8" fillId="0" borderId="26" xfId="56" applyNumberFormat="1" applyFont="1" applyBorder="1" applyAlignment="1">
      <alignment horizontal="center"/>
      <protection/>
    </xf>
    <xf numFmtId="0" fontId="8" fillId="0" borderId="26" xfId="56" applyFont="1" applyFill="1" applyBorder="1" applyAlignment="1">
      <alignment horizontal="center"/>
      <protection/>
    </xf>
    <xf numFmtId="4" fontId="8" fillId="0" borderId="40" xfId="56" applyNumberFormat="1" applyFont="1" applyBorder="1" applyAlignment="1">
      <alignment horizontal="center"/>
      <protection/>
    </xf>
    <xf numFmtId="0" fontId="8" fillId="0" borderId="40" xfId="56" applyFont="1" applyBorder="1" applyAlignment="1" quotePrefix="1">
      <alignment horizontal="center"/>
      <protection/>
    </xf>
    <xf numFmtId="0" fontId="8" fillId="0" borderId="40" xfId="56" applyFont="1" applyFill="1" applyBorder="1" applyAlignment="1" quotePrefix="1">
      <alignment horizontal="center"/>
      <protection/>
    </xf>
    <xf numFmtId="0" fontId="8" fillId="0" borderId="43" xfId="56" applyFont="1" applyBorder="1" applyAlignment="1" quotePrefix="1">
      <alignment horizontal="center"/>
      <protection/>
    </xf>
    <xf numFmtId="0" fontId="8" fillId="0" borderId="46" xfId="55" applyFont="1" applyBorder="1" applyAlignment="1">
      <alignment horizontal="center"/>
      <protection/>
    </xf>
    <xf numFmtId="0" fontId="8" fillId="0" borderId="47" xfId="55" applyFont="1" applyBorder="1" applyAlignment="1">
      <alignment horizontal="center"/>
      <protection/>
    </xf>
    <xf numFmtId="1" fontId="3" fillId="0" borderId="26" xfId="56" applyNumberFormat="1" applyFont="1" applyFill="1" applyBorder="1" applyAlignment="1">
      <alignment horizontal="center"/>
      <protection/>
    </xf>
    <xf numFmtId="1" fontId="3" fillId="0" borderId="40" xfId="55" applyNumberFormat="1" applyFont="1" applyBorder="1" applyAlignment="1">
      <alignment horizontal="center"/>
      <protection/>
    </xf>
    <xf numFmtId="3" fontId="3" fillId="0" borderId="18" xfId="55" applyNumberFormat="1" applyBorder="1" applyAlignment="1">
      <alignment horizontal="center"/>
      <protection/>
    </xf>
    <xf numFmtId="0" fontId="3" fillId="0" borderId="38" xfId="55" applyBorder="1" applyAlignment="1">
      <alignment horizontal="center"/>
      <protection/>
    </xf>
    <xf numFmtId="0" fontId="8" fillId="0" borderId="38" xfId="56" applyFont="1" applyBorder="1" applyAlignment="1">
      <alignment horizontal="center"/>
      <protection/>
    </xf>
    <xf numFmtId="0" fontId="3" fillId="0" borderId="11" xfId="56" applyFont="1" applyBorder="1" applyAlignment="1">
      <alignment horizontal="left"/>
      <protection/>
    </xf>
    <xf numFmtId="1" fontId="3" fillId="0" borderId="40" xfId="56" applyNumberFormat="1" applyFont="1" applyFill="1" applyBorder="1" applyAlignment="1">
      <alignment horizontal="center"/>
      <protection/>
    </xf>
    <xf numFmtId="0" fontId="3" fillId="0" borderId="18" xfId="55" applyBorder="1" applyAlignment="1">
      <alignment horizontal="center"/>
      <protection/>
    </xf>
    <xf numFmtId="0" fontId="3" fillId="0" borderId="18" xfId="56" applyFont="1" applyBorder="1" applyAlignment="1">
      <alignment horizontal="center"/>
      <protection/>
    </xf>
    <xf numFmtId="0" fontId="3" fillId="0" borderId="38" xfId="56" applyFont="1" applyBorder="1" applyAlignment="1">
      <alignment horizontal="center"/>
      <protection/>
    </xf>
    <xf numFmtId="1" fontId="3" fillId="0" borderId="40" xfId="55" applyNumberFormat="1" applyFont="1" applyFill="1" applyBorder="1" applyAlignment="1">
      <alignment horizontal="center"/>
      <protection/>
    </xf>
    <xf numFmtId="3" fontId="3" fillId="0" borderId="38" xfId="55" applyNumberFormat="1" applyBorder="1" applyAlignment="1">
      <alignment horizontal="center"/>
      <protection/>
    </xf>
    <xf numFmtId="0" fontId="3" fillId="0" borderId="40" xfId="56" applyFont="1" applyBorder="1" applyAlignment="1">
      <alignment horizontal="left"/>
      <protection/>
    </xf>
    <xf numFmtId="0" fontId="3" fillId="0" borderId="40" xfId="56" applyFont="1" applyBorder="1">
      <alignment/>
      <protection/>
    </xf>
    <xf numFmtId="1" fontId="3" fillId="0" borderId="40" xfId="56" applyNumberFormat="1" applyFont="1" applyBorder="1" applyAlignment="1">
      <alignment horizontal="center"/>
      <protection/>
    </xf>
    <xf numFmtId="3" fontId="3" fillId="0" borderId="17" xfId="55" applyNumberFormat="1" applyBorder="1" applyAlignment="1">
      <alignment horizontal="center"/>
      <protection/>
    </xf>
    <xf numFmtId="0" fontId="3" fillId="0" borderId="43" xfId="56" applyFont="1" applyBorder="1" applyAlignment="1">
      <alignment horizontal="left"/>
      <protection/>
    </xf>
    <xf numFmtId="0" fontId="3" fillId="0" borderId="43" xfId="56" applyFont="1" applyBorder="1" applyAlignment="1">
      <alignment horizontal="center"/>
      <protection/>
    </xf>
    <xf numFmtId="1" fontId="3" fillId="0" borderId="43" xfId="56" applyNumberFormat="1" applyFont="1" applyBorder="1" applyAlignment="1">
      <alignment horizontal="center"/>
      <protection/>
    </xf>
    <xf numFmtId="1" fontId="3" fillId="0" borderId="43" xfId="55" applyNumberFormat="1" applyFont="1" applyBorder="1" applyAlignment="1">
      <alignment horizontal="center"/>
      <protection/>
    </xf>
    <xf numFmtId="3" fontId="3" fillId="0" borderId="14" xfId="55" applyNumberFormat="1" applyBorder="1" applyAlignment="1">
      <alignment horizontal="center"/>
      <protection/>
    </xf>
    <xf numFmtId="3" fontId="3" fillId="0" borderId="20" xfId="55" applyNumberFormat="1" applyBorder="1" applyAlignment="1">
      <alignment horizontal="center"/>
      <protection/>
    </xf>
    <xf numFmtId="0" fontId="15" fillId="0" borderId="0" xfId="56" applyFont="1" applyBorder="1" applyAlignment="1" quotePrefix="1">
      <alignment horizontal="left"/>
      <protection/>
    </xf>
    <xf numFmtId="3" fontId="3" fillId="0" borderId="0" xfId="55" applyNumberFormat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15" fillId="0" borderId="0" xfId="55" applyFont="1" applyAlignment="1" quotePrefix="1">
      <alignment horizontal="left"/>
      <protection/>
    </xf>
    <xf numFmtId="0" fontId="15" fillId="0" borderId="0" xfId="56" applyFont="1" applyFill="1" applyBorder="1" applyAlignment="1" quotePrefix="1">
      <alignment horizontal="left"/>
      <protection/>
    </xf>
    <xf numFmtId="0" fontId="8" fillId="0" borderId="0" xfId="55" applyFont="1" applyBorder="1" applyAlignment="1">
      <alignment horizontal="center"/>
      <protection/>
    </xf>
    <xf numFmtId="0" fontId="3" fillId="0" borderId="0" xfId="55" applyBorder="1" applyAlignment="1">
      <alignment horizontal="center"/>
      <protection/>
    </xf>
    <xf numFmtId="0" fontId="8" fillId="0" borderId="10" xfId="55" applyFont="1" applyBorder="1" applyAlignment="1" quotePrefix="1">
      <alignment horizontal="center"/>
      <protection/>
    </xf>
    <xf numFmtId="0" fontId="3" fillId="0" borderId="25" xfId="55" applyBorder="1" applyAlignment="1">
      <alignment horizontal="center"/>
      <protection/>
    </xf>
    <xf numFmtId="0" fontId="3" fillId="0" borderId="48" xfId="55" applyBorder="1" applyAlignment="1">
      <alignment horizontal="center"/>
      <protection/>
    </xf>
    <xf numFmtId="0" fontId="3" fillId="0" borderId="49" xfId="55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evron_Reformer_1303" xfId="55"/>
    <cellStyle name="Normal_thums3b-modeling-65ft-updatedGP9180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zoomScalePageLayoutView="0" workbookViewId="0" topLeftCell="A13">
      <selection activeCell="D30" sqref="D30"/>
    </sheetView>
  </sheetViews>
  <sheetFormatPr defaultColWidth="8.00390625" defaultRowHeight="12.75"/>
  <cols>
    <col min="1" max="1" width="12.421875" style="119" customWidth="1"/>
    <col min="2" max="2" width="8.8515625" style="119" customWidth="1"/>
    <col min="3" max="3" width="12.7109375" style="119" customWidth="1"/>
    <col min="4" max="4" width="12.00390625" style="119" customWidth="1"/>
    <col min="5" max="5" width="10.8515625" style="119" customWidth="1"/>
    <col min="6" max="6" width="12.00390625" style="119" customWidth="1"/>
    <col min="7" max="7" width="11.57421875" style="119" customWidth="1"/>
    <col min="8" max="8" width="12.140625" style="119" customWidth="1"/>
    <col min="9" max="9" width="11.7109375" style="119" customWidth="1"/>
    <col min="10" max="10" width="9.57421875" style="119" customWidth="1"/>
    <col min="11" max="11" width="9.8515625" style="119" customWidth="1"/>
    <col min="12" max="12" width="12.140625" style="119" customWidth="1"/>
    <col min="13" max="13" width="10.57421875" style="119" customWidth="1"/>
    <col min="14" max="16384" width="8.00390625" style="119" customWidth="1"/>
  </cols>
  <sheetData>
    <row r="2" ht="13.5" thickBot="1">
      <c r="G2" s="120"/>
    </row>
    <row r="3" spans="1:13" ht="13.5" thickTop="1">
      <c r="A3" s="121"/>
      <c r="B3" s="122"/>
      <c r="C3" s="123" t="s">
        <v>68</v>
      </c>
      <c r="D3" s="124"/>
      <c r="E3" s="125"/>
      <c r="F3" s="125"/>
      <c r="G3" s="126"/>
      <c r="H3" s="127" t="s">
        <v>69</v>
      </c>
      <c r="I3" s="128"/>
      <c r="J3" s="216"/>
      <c r="K3" s="217"/>
      <c r="L3" s="130"/>
      <c r="M3" s="120"/>
    </row>
    <row r="4" spans="1:13" ht="12.75">
      <c r="A4" s="131"/>
      <c r="B4" s="132" t="s">
        <v>70</v>
      </c>
      <c r="C4" s="133" t="s">
        <v>71</v>
      </c>
      <c r="D4" s="134"/>
      <c r="E4" s="135" t="s">
        <v>72</v>
      </c>
      <c r="F4" s="136" t="s">
        <v>73</v>
      </c>
      <c r="G4" s="137" t="s">
        <v>74</v>
      </c>
      <c r="H4" s="138" t="s">
        <v>75</v>
      </c>
      <c r="I4" s="139"/>
      <c r="J4" s="217"/>
      <c r="K4" s="217"/>
      <c r="L4" s="130"/>
      <c r="M4" s="130"/>
    </row>
    <row r="5" spans="1:13" ht="14.25" customHeight="1" thickBot="1">
      <c r="A5" s="140" t="s">
        <v>7</v>
      </c>
      <c r="B5" s="141" t="s">
        <v>76</v>
      </c>
      <c r="C5" s="142" t="s">
        <v>1</v>
      </c>
      <c r="D5" s="143" t="s">
        <v>44</v>
      </c>
      <c r="E5" s="144" t="s">
        <v>77</v>
      </c>
      <c r="F5" s="144" t="s">
        <v>78</v>
      </c>
      <c r="G5" s="145" t="s">
        <v>77</v>
      </c>
      <c r="H5" s="146" t="s">
        <v>95</v>
      </c>
      <c r="I5" s="147"/>
      <c r="J5" s="129"/>
      <c r="K5" s="129"/>
      <c r="L5" s="147"/>
      <c r="M5" s="130"/>
    </row>
    <row r="6" spans="1:13" ht="15.75" thickTop="1">
      <c r="A6" s="148" t="s">
        <v>96</v>
      </c>
      <c r="B6" s="149" t="s">
        <v>79</v>
      </c>
      <c r="C6" s="150">
        <v>5.22</v>
      </c>
      <c r="D6" s="151">
        <f aca="true" t="shared" si="0" ref="D6:D14">C6*453.59/3600</f>
        <v>0.6577054999999999</v>
      </c>
      <c r="E6" s="152">
        <v>4.443</v>
      </c>
      <c r="F6" s="153" t="str">
        <f>"---"</f>
        <v>---</v>
      </c>
      <c r="G6" s="154">
        <v>4.443</v>
      </c>
      <c r="H6" s="155">
        <f aca="true" t="shared" si="1" ref="H6:H14">D6*G6</f>
        <v>2.9221855364999993</v>
      </c>
      <c r="I6" s="156"/>
      <c r="J6" s="129"/>
      <c r="K6" s="129"/>
      <c r="L6" s="147"/>
      <c r="M6" s="130"/>
    </row>
    <row r="7" spans="1:13" ht="15">
      <c r="A7" s="148" t="s">
        <v>97</v>
      </c>
      <c r="B7" s="149" t="s">
        <v>79</v>
      </c>
      <c r="C7" s="150">
        <v>16.83</v>
      </c>
      <c r="D7" s="151">
        <f t="shared" si="0"/>
        <v>2.12053325</v>
      </c>
      <c r="E7" s="157">
        <v>4.443</v>
      </c>
      <c r="F7" s="153" t="str">
        <f>"---"</f>
        <v>---</v>
      </c>
      <c r="G7" s="154">
        <f>G6</f>
        <v>4.443</v>
      </c>
      <c r="H7" s="155">
        <f t="shared" si="1"/>
        <v>9.421529229749998</v>
      </c>
      <c r="I7" s="156"/>
      <c r="J7" s="129"/>
      <c r="K7" s="129"/>
      <c r="L7" s="147"/>
      <c r="M7" s="130"/>
    </row>
    <row r="8" spans="1:13" ht="16.5">
      <c r="A8" s="148" t="s">
        <v>98</v>
      </c>
      <c r="B8" s="149" t="s">
        <v>34</v>
      </c>
      <c r="C8" s="150">
        <f>(28*9*C7+(8508*C6))/8760</f>
        <v>5.5539863013698625</v>
      </c>
      <c r="D8" s="151">
        <f t="shared" si="0"/>
        <v>0.6997868462328767</v>
      </c>
      <c r="E8" s="157">
        <v>4.443</v>
      </c>
      <c r="F8" s="153">
        <v>0.08</v>
      </c>
      <c r="G8" s="158">
        <f>E8*F8</f>
        <v>0.35544</v>
      </c>
      <c r="H8" s="155">
        <f t="shared" si="1"/>
        <v>0.24873223662501368</v>
      </c>
      <c r="I8" s="156"/>
      <c r="J8" s="129"/>
      <c r="K8" s="129"/>
      <c r="L8" s="147"/>
      <c r="M8" s="130"/>
    </row>
    <row r="9" spans="1:13" ht="12.75">
      <c r="A9" s="148" t="s">
        <v>80</v>
      </c>
      <c r="B9" s="149" t="s">
        <v>81</v>
      </c>
      <c r="C9" s="150">
        <v>7.32</v>
      </c>
      <c r="D9" s="151">
        <f t="shared" si="0"/>
        <v>0.9222996666666666</v>
      </c>
      <c r="E9" s="157">
        <v>4.443</v>
      </c>
      <c r="F9" s="153">
        <v>0.4</v>
      </c>
      <c r="G9" s="158">
        <f>E9*F9</f>
        <v>1.7772</v>
      </c>
      <c r="H9" s="155">
        <f t="shared" si="1"/>
        <v>1.6391109675999997</v>
      </c>
      <c r="I9" s="156"/>
      <c r="J9" s="129"/>
      <c r="K9" s="129"/>
      <c r="L9" s="147"/>
      <c r="M9" s="130"/>
    </row>
    <row r="10" spans="1:13" ht="12.75">
      <c r="A10" s="148" t="s">
        <v>80</v>
      </c>
      <c r="B10" s="149" t="s">
        <v>34</v>
      </c>
      <c r="C10" s="150">
        <v>7.32</v>
      </c>
      <c r="D10" s="151">
        <f t="shared" si="0"/>
        <v>0.9222996666666666</v>
      </c>
      <c r="E10" s="157">
        <v>4.443</v>
      </c>
      <c r="F10" s="153">
        <v>0.08</v>
      </c>
      <c r="G10" s="158">
        <f>E10*F10</f>
        <v>0.35544</v>
      </c>
      <c r="H10" s="155">
        <f t="shared" si="1"/>
        <v>0.32782219351999997</v>
      </c>
      <c r="I10" s="156"/>
      <c r="J10" s="129"/>
      <c r="K10" s="129"/>
      <c r="L10" s="147"/>
      <c r="M10" s="130"/>
    </row>
    <row r="11" spans="1:13" ht="12.75">
      <c r="A11" s="159" t="s">
        <v>82</v>
      </c>
      <c r="B11" s="149" t="s">
        <v>79</v>
      </c>
      <c r="C11" s="150">
        <v>5.48</v>
      </c>
      <c r="D11" s="151">
        <f t="shared" si="0"/>
        <v>0.6904647777777778</v>
      </c>
      <c r="E11" s="157">
        <v>4.443</v>
      </c>
      <c r="F11" s="153" t="str">
        <f>"---"</f>
        <v>---</v>
      </c>
      <c r="G11" s="154">
        <f>G6</f>
        <v>4.443</v>
      </c>
      <c r="H11" s="155">
        <f t="shared" si="1"/>
        <v>3.0677350076666667</v>
      </c>
      <c r="I11" s="156"/>
      <c r="J11" s="129"/>
      <c r="K11" s="129"/>
      <c r="L11" s="147"/>
      <c r="M11" s="130"/>
    </row>
    <row r="12" spans="1:13" ht="15">
      <c r="A12" s="160" t="s">
        <v>99</v>
      </c>
      <c r="B12" s="149" t="s">
        <v>79</v>
      </c>
      <c r="C12" s="150">
        <v>2.05</v>
      </c>
      <c r="D12" s="161">
        <f t="shared" si="0"/>
        <v>0.25829430555555555</v>
      </c>
      <c r="E12" s="157">
        <v>4.443</v>
      </c>
      <c r="F12" s="153" t="str">
        <f>"---"</f>
        <v>---</v>
      </c>
      <c r="G12" s="154">
        <f>G11</f>
        <v>4.443</v>
      </c>
      <c r="H12" s="162">
        <f t="shared" si="1"/>
        <v>1.1476015995833333</v>
      </c>
      <c r="I12" s="156"/>
      <c r="J12" s="129"/>
      <c r="K12" s="129"/>
      <c r="L12" s="147"/>
      <c r="M12" s="130"/>
    </row>
    <row r="13" spans="1:13" ht="12.75">
      <c r="A13" s="163" t="s">
        <v>82</v>
      </c>
      <c r="B13" s="164" t="s">
        <v>83</v>
      </c>
      <c r="C13" s="165">
        <v>5.48</v>
      </c>
      <c r="D13" s="166">
        <f t="shared" si="0"/>
        <v>0.6904647777777778</v>
      </c>
      <c r="E13" s="157">
        <v>4.443</v>
      </c>
      <c r="F13" s="153">
        <v>0.7</v>
      </c>
      <c r="G13" s="154">
        <f>E13*F13</f>
        <v>3.1100999999999996</v>
      </c>
      <c r="H13" s="162">
        <f t="shared" si="1"/>
        <v>2.1474145053666667</v>
      </c>
      <c r="I13" s="156"/>
      <c r="J13" s="129"/>
      <c r="K13" s="129"/>
      <c r="L13" s="147"/>
      <c r="M13" s="130"/>
    </row>
    <row r="14" spans="1:13" ht="15.75" thickBot="1">
      <c r="A14" s="167" t="s">
        <v>99</v>
      </c>
      <c r="B14" s="168" t="s">
        <v>83</v>
      </c>
      <c r="C14" s="169">
        <v>2.05</v>
      </c>
      <c r="D14" s="170">
        <f t="shared" si="0"/>
        <v>0.25829430555555555</v>
      </c>
      <c r="E14" s="171">
        <v>4.443</v>
      </c>
      <c r="F14" s="172">
        <v>0.7</v>
      </c>
      <c r="G14" s="173">
        <f>E14*F14</f>
        <v>3.1100999999999996</v>
      </c>
      <c r="H14" s="174">
        <f t="shared" si="1"/>
        <v>0.8033211197083332</v>
      </c>
      <c r="I14" s="156"/>
      <c r="J14" s="129"/>
      <c r="K14" s="129"/>
      <c r="L14" s="147"/>
      <c r="M14" s="130"/>
    </row>
    <row r="15" spans="1:13" ht="14.25" thickBot="1" thickTop="1">
      <c r="A15" s="120"/>
      <c r="B15" s="175"/>
      <c r="C15" s="176"/>
      <c r="D15" s="177"/>
      <c r="E15" s="178"/>
      <c r="F15" s="179"/>
      <c r="G15" s="179"/>
      <c r="H15" s="180"/>
      <c r="I15" s="156"/>
      <c r="J15" s="129"/>
      <c r="K15" s="129"/>
      <c r="L15" s="147"/>
      <c r="M15" s="130"/>
    </row>
    <row r="16" spans="1:13" ht="13.5" thickTop="1">
      <c r="A16" s="121"/>
      <c r="B16" s="122"/>
      <c r="C16" s="181" t="s">
        <v>69</v>
      </c>
      <c r="D16" s="122" t="s">
        <v>84</v>
      </c>
      <c r="E16" s="182" t="s">
        <v>85</v>
      </c>
      <c r="F16" s="218" t="s">
        <v>100</v>
      </c>
      <c r="G16" s="219"/>
      <c r="H16" s="122" t="s">
        <v>86</v>
      </c>
      <c r="I16" s="125"/>
      <c r="J16" s="129"/>
      <c r="K16" s="129"/>
      <c r="L16" s="147"/>
      <c r="M16" s="130"/>
    </row>
    <row r="17" spans="1:13" ht="15">
      <c r="A17" s="131"/>
      <c r="B17" s="132" t="s">
        <v>70</v>
      </c>
      <c r="C17" s="183" t="s">
        <v>75</v>
      </c>
      <c r="D17" s="184" t="s">
        <v>101</v>
      </c>
      <c r="E17" s="185" t="s">
        <v>75</v>
      </c>
      <c r="F17" s="220"/>
      <c r="G17" s="221"/>
      <c r="H17" s="132" t="s">
        <v>75</v>
      </c>
      <c r="I17" s="132" t="s">
        <v>87</v>
      </c>
      <c r="J17" s="129"/>
      <c r="K17" s="129"/>
      <c r="L17" s="147"/>
      <c r="M17" s="130"/>
    </row>
    <row r="18" spans="1:13" ht="15.75" thickBot="1">
      <c r="A18" s="140" t="s">
        <v>7</v>
      </c>
      <c r="B18" s="141" t="s">
        <v>76</v>
      </c>
      <c r="C18" s="186" t="s">
        <v>95</v>
      </c>
      <c r="D18" s="186" t="s">
        <v>95</v>
      </c>
      <c r="E18" s="186" t="s">
        <v>95</v>
      </c>
      <c r="F18" s="187" t="s">
        <v>88</v>
      </c>
      <c r="G18" s="188" t="s">
        <v>89</v>
      </c>
      <c r="H18" s="186" t="s">
        <v>95</v>
      </c>
      <c r="I18" s="141" t="s">
        <v>90</v>
      </c>
      <c r="J18" s="129"/>
      <c r="K18" s="129"/>
      <c r="L18" s="147"/>
      <c r="M18" s="130"/>
    </row>
    <row r="19" spans="1:9" ht="15.75" thickTop="1">
      <c r="A19" s="148" t="s">
        <v>96</v>
      </c>
      <c r="B19" s="149" t="s">
        <v>79</v>
      </c>
      <c r="C19" s="152">
        <f aca="true" t="shared" si="2" ref="C19:C27">H6</f>
        <v>2.9221855364999993</v>
      </c>
      <c r="D19" s="189">
        <v>245.28</v>
      </c>
      <c r="E19" s="190">
        <f>C19+D19</f>
        <v>248.2021855365</v>
      </c>
      <c r="F19" s="191">
        <v>470</v>
      </c>
      <c r="G19" s="192" t="s">
        <v>91</v>
      </c>
      <c r="H19" s="164" t="s">
        <v>92</v>
      </c>
      <c r="I19" s="193" t="str">
        <f>IF(E19&gt;F19,"YES","NO")</f>
        <v>NO</v>
      </c>
    </row>
    <row r="20" spans="1:9" ht="12.75">
      <c r="A20" s="194" t="s">
        <v>93</v>
      </c>
      <c r="B20" s="149" t="s">
        <v>79</v>
      </c>
      <c r="C20" s="157">
        <f t="shared" si="2"/>
        <v>9.421529229749998</v>
      </c>
      <c r="D20" s="195">
        <v>245.28</v>
      </c>
      <c r="E20" s="190">
        <f>C20+D20</f>
        <v>254.70152922975</v>
      </c>
      <c r="F20" s="191">
        <v>470</v>
      </c>
      <c r="G20" s="192" t="s">
        <v>91</v>
      </c>
      <c r="H20" s="164" t="s">
        <v>92</v>
      </c>
      <c r="I20" s="193" t="str">
        <f>IF(E20&gt;F20,"YES","NO")</f>
        <v>NO</v>
      </c>
    </row>
    <row r="21" spans="1:9" ht="15">
      <c r="A21" s="148" t="s">
        <v>102</v>
      </c>
      <c r="B21" s="149" t="s">
        <v>34</v>
      </c>
      <c r="C21" s="157">
        <f t="shared" si="2"/>
        <v>0.24873223662501368</v>
      </c>
      <c r="D21" s="195">
        <v>55.46</v>
      </c>
      <c r="E21" s="190">
        <f>C21+D21</f>
        <v>55.70873223662502</v>
      </c>
      <c r="F21" s="196" t="s">
        <v>91</v>
      </c>
      <c r="G21" s="192">
        <v>100</v>
      </c>
      <c r="H21" s="164" t="s">
        <v>92</v>
      </c>
      <c r="I21" s="193" t="str">
        <f>IF(E21&gt;G21,"YES","NO")</f>
        <v>NO</v>
      </c>
    </row>
    <row r="22" spans="1:9" ht="15">
      <c r="A22" s="148" t="s">
        <v>103</v>
      </c>
      <c r="B22" s="149" t="s">
        <v>81</v>
      </c>
      <c r="C22" s="157">
        <f t="shared" si="2"/>
        <v>1.6391109675999997</v>
      </c>
      <c r="D22" s="195" t="s">
        <v>92</v>
      </c>
      <c r="E22" s="190">
        <f>C22</f>
        <v>1.6391109675999997</v>
      </c>
      <c r="F22" s="197" t="s">
        <v>92</v>
      </c>
      <c r="G22" s="198" t="s">
        <v>92</v>
      </c>
      <c r="H22" s="164">
        <v>2.5</v>
      </c>
      <c r="I22" s="193" t="str">
        <f>IF(E22&gt;H22,"YES","NO")</f>
        <v>NO</v>
      </c>
    </row>
    <row r="23" spans="1:9" ht="15">
      <c r="A23" s="148" t="s">
        <v>103</v>
      </c>
      <c r="B23" s="149" t="s">
        <v>34</v>
      </c>
      <c r="C23" s="157">
        <f t="shared" si="2"/>
        <v>0.32782219351999997</v>
      </c>
      <c r="D23" s="195" t="s">
        <v>92</v>
      </c>
      <c r="E23" s="190">
        <f>C23</f>
        <v>0.32782219351999997</v>
      </c>
      <c r="F23" s="197" t="s">
        <v>92</v>
      </c>
      <c r="G23" s="198" t="s">
        <v>92</v>
      </c>
      <c r="H23" s="164">
        <v>1</v>
      </c>
      <c r="I23" s="193" t="str">
        <f>IF(E23&gt;H23,"YES","NO")</f>
        <v>NO</v>
      </c>
    </row>
    <row r="24" spans="1:9" ht="12.75">
      <c r="A24" s="159" t="s">
        <v>82</v>
      </c>
      <c r="B24" s="149" t="s">
        <v>79</v>
      </c>
      <c r="C24" s="157">
        <f t="shared" si="2"/>
        <v>3.0677350076666667</v>
      </c>
      <c r="D24" s="199">
        <v>11500</v>
      </c>
      <c r="E24" s="190">
        <f>C24+D24</f>
        <v>11503.067735007666</v>
      </c>
      <c r="F24" s="191">
        <v>23000</v>
      </c>
      <c r="G24" s="200">
        <v>40000</v>
      </c>
      <c r="H24" s="164" t="s">
        <v>92</v>
      </c>
      <c r="I24" s="193" t="str">
        <f>IF(E24&gt;F24,"YES","NO")</f>
        <v>NO</v>
      </c>
    </row>
    <row r="25" spans="1:9" ht="12.75" customHeight="1">
      <c r="A25" s="201" t="s">
        <v>94</v>
      </c>
      <c r="B25" s="149" t="s">
        <v>79</v>
      </c>
      <c r="C25" s="157">
        <f t="shared" si="2"/>
        <v>1.1476015995833333</v>
      </c>
      <c r="D25" s="199">
        <v>11500</v>
      </c>
      <c r="E25" s="190">
        <f>C25+D25</f>
        <v>11501.147601599583</v>
      </c>
      <c r="F25" s="191">
        <v>23000</v>
      </c>
      <c r="G25" s="200">
        <v>40000</v>
      </c>
      <c r="H25" s="164" t="s">
        <v>92</v>
      </c>
      <c r="I25" s="193" t="str">
        <f>IF(E25&gt;F25,"YES","NO")</f>
        <v>NO</v>
      </c>
    </row>
    <row r="26" spans="1:9" ht="12.75" customHeight="1">
      <c r="A26" s="202" t="s">
        <v>82</v>
      </c>
      <c r="B26" s="149" t="s">
        <v>83</v>
      </c>
      <c r="C26" s="157">
        <f t="shared" si="2"/>
        <v>2.1474145053666667</v>
      </c>
      <c r="D26" s="203">
        <v>9333.33</v>
      </c>
      <c r="E26" s="190">
        <f>C26+D26</f>
        <v>9335.477414505367</v>
      </c>
      <c r="F26" s="191">
        <v>10000</v>
      </c>
      <c r="G26" s="204">
        <v>10000</v>
      </c>
      <c r="H26" s="164" t="s">
        <v>92</v>
      </c>
      <c r="I26" s="132" t="str">
        <f>IF(E26&gt;F26,"YES","NO")</f>
        <v>NO</v>
      </c>
    </row>
    <row r="27" spans="1:9" ht="12.75" customHeight="1" thickBot="1">
      <c r="A27" s="205" t="s">
        <v>94</v>
      </c>
      <c r="B27" s="206" t="s">
        <v>83</v>
      </c>
      <c r="C27" s="171">
        <f t="shared" si="2"/>
        <v>0.8033211197083332</v>
      </c>
      <c r="D27" s="207">
        <v>9333.33</v>
      </c>
      <c r="E27" s="208">
        <f>C27+D27</f>
        <v>9334.133321119709</v>
      </c>
      <c r="F27" s="209">
        <v>10000</v>
      </c>
      <c r="G27" s="210">
        <v>10000</v>
      </c>
      <c r="H27" s="168" t="s">
        <v>92</v>
      </c>
      <c r="I27" s="141" t="str">
        <f>IF(E27&gt;F27,"YES","NO")</f>
        <v>NO</v>
      </c>
    </row>
    <row r="28" spans="1:9" ht="12.75" customHeight="1" thickTop="1">
      <c r="A28" s="211" t="s">
        <v>104</v>
      </c>
      <c r="B28" s="175"/>
      <c r="C28" s="156"/>
      <c r="D28" s="180"/>
      <c r="E28" s="156"/>
      <c r="F28" s="212"/>
      <c r="G28" s="212"/>
      <c r="H28" s="213"/>
      <c r="I28" s="130"/>
    </row>
    <row r="29" spans="1:9" ht="12.75" customHeight="1">
      <c r="A29" s="214" t="s">
        <v>105</v>
      </c>
      <c r="B29" s="175"/>
      <c r="C29" s="156"/>
      <c r="D29" s="180"/>
      <c r="E29" s="156"/>
      <c r="F29" s="212"/>
      <c r="G29" s="212"/>
      <c r="H29" s="213"/>
      <c r="I29" s="130"/>
    </row>
    <row r="30" spans="1:13" ht="15" customHeight="1">
      <c r="A30" s="215" t="s">
        <v>106</v>
      </c>
      <c r="F30" s="179"/>
      <c r="G30" s="179"/>
      <c r="H30" s="180"/>
      <c r="I30" s="156"/>
      <c r="J30" s="212"/>
      <c r="K30" s="212"/>
      <c r="L30" s="175"/>
      <c r="M30" s="130"/>
    </row>
    <row r="31" spans="1:13" ht="16.5" customHeight="1">
      <c r="A31" s="215" t="s">
        <v>107</v>
      </c>
      <c r="B31" s="175"/>
      <c r="C31" s="176"/>
      <c r="D31" s="177"/>
      <c r="E31" s="178"/>
      <c r="F31" s="179"/>
      <c r="G31" s="179"/>
      <c r="H31" s="180"/>
      <c r="I31" s="156"/>
      <c r="J31" s="212"/>
      <c r="K31" s="212"/>
      <c r="L31" s="175"/>
      <c r="M31" s="130"/>
    </row>
    <row r="32" spans="6:13" ht="16.5" customHeight="1">
      <c r="F32" s="179"/>
      <c r="G32" s="179"/>
      <c r="H32" s="180"/>
      <c r="I32" s="156"/>
      <c r="J32" s="212"/>
      <c r="K32" s="212"/>
      <c r="L32" s="175"/>
      <c r="M32" s="130"/>
    </row>
    <row r="33" spans="1:13" ht="16.5" customHeight="1">
      <c r="A33" s="147"/>
      <c r="B33" s="129"/>
      <c r="C33" s="129"/>
      <c r="D33" s="147"/>
      <c r="E33" s="130"/>
      <c r="F33" s="179"/>
      <c r="G33" s="179"/>
      <c r="I33" s="156"/>
      <c r="J33" s="212"/>
      <c r="K33" s="212"/>
      <c r="L33" s="175"/>
      <c r="M33" s="130"/>
    </row>
    <row r="35" ht="14.25" customHeight="1"/>
  </sheetData>
  <sheetProtection/>
  <mergeCells count="2">
    <mergeCell ref="J3:K4"/>
    <mergeCell ref="F16:G17"/>
  </mergeCells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&amp;C&amp;"Times New Roman,Bold"&amp;12TABLE B-1&amp;"Times New Roman,Regular"
AMBIENT AIR QUALITY ANALYSIS</oddHeader>
    <oddFooter>&amp;R&amp;"Times New Roman,Bold"February 12,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75" zoomScaleNormal="75" zoomScalePageLayoutView="0" workbookViewId="0" topLeftCell="A1">
      <pane xSplit="2" topLeftCell="C1" activePane="topRight" state="frozen"/>
      <selection pane="topLeft" activeCell="A20" sqref="A20"/>
      <selection pane="topRight" activeCell="B29" sqref="B29"/>
    </sheetView>
  </sheetViews>
  <sheetFormatPr defaultColWidth="9.140625" defaultRowHeight="12.75"/>
  <cols>
    <col min="1" max="1" width="24.8515625" style="3" customWidth="1"/>
    <col min="2" max="2" width="14.8515625" style="3" customWidth="1"/>
    <col min="3" max="4" width="9.140625" style="3" customWidth="1"/>
    <col min="5" max="5" width="11.57421875" style="3" bestFit="1" customWidth="1"/>
    <col min="6" max="6" width="9.140625" style="3" customWidth="1"/>
    <col min="7" max="7" width="10.57421875" style="3" customWidth="1"/>
    <col min="8" max="8" width="9.8515625" style="3" customWidth="1"/>
    <col min="9" max="9" width="12.28125" style="3" customWidth="1"/>
    <col min="10" max="13" width="9.140625" style="3" customWidth="1"/>
    <col min="14" max="14" width="8.421875" style="3" customWidth="1"/>
    <col min="15" max="15" width="9.140625" style="3" customWidth="1"/>
    <col min="16" max="16" width="10.7109375" style="3" customWidth="1"/>
    <col min="17" max="17" width="10.00390625" style="3" customWidth="1"/>
    <col min="18" max="16384" width="9.140625" style="3" customWidth="1"/>
  </cols>
  <sheetData>
    <row r="1" spans="1:16" ht="12.75">
      <c r="A1" s="35"/>
      <c r="B1" s="1"/>
      <c r="C1" s="1"/>
      <c r="D1" s="1"/>
      <c r="E1" s="1"/>
      <c r="F1" s="98"/>
      <c r="G1" s="21"/>
      <c r="H1" s="2"/>
      <c r="I1" s="2"/>
      <c r="J1" s="2"/>
      <c r="K1" s="2"/>
      <c r="L1" s="2"/>
      <c r="M1" s="2"/>
      <c r="N1" s="38"/>
      <c r="O1" s="1"/>
      <c r="P1" s="1"/>
    </row>
    <row r="2" spans="1:16" ht="12.75">
      <c r="A2" s="39" t="s">
        <v>16</v>
      </c>
      <c r="B2" s="1"/>
      <c r="C2" s="1"/>
      <c r="D2" s="1"/>
      <c r="E2" s="1"/>
      <c r="F2" s="98"/>
      <c r="G2" s="21"/>
      <c r="H2" s="2"/>
      <c r="I2" s="2"/>
      <c r="J2" s="2"/>
      <c r="K2" s="2"/>
      <c r="L2" s="2"/>
      <c r="M2" s="2"/>
      <c r="N2" s="38"/>
      <c r="O2" s="1"/>
      <c r="P2" s="1"/>
    </row>
    <row r="3" spans="1:16" ht="12.75">
      <c r="A3" s="26" t="s">
        <v>17</v>
      </c>
      <c r="B3" s="2">
        <v>1</v>
      </c>
      <c r="C3" s="1"/>
      <c r="D3" s="1"/>
      <c r="E3" s="1"/>
      <c r="F3" s="98"/>
      <c r="G3" s="21"/>
      <c r="H3" s="2"/>
      <c r="I3" s="2"/>
      <c r="J3" s="2"/>
      <c r="K3" s="2"/>
      <c r="L3" s="2"/>
      <c r="M3" s="2"/>
      <c r="N3" s="38"/>
      <c r="O3" s="1"/>
      <c r="P3" s="1"/>
    </row>
    <row r="4" spans="1:16" ht="12.75">
      <c r="A4" s="26" t="s">
        <v>67</v>
      </c>
      <c r="B4" s="2">
        <v>780</v>
      </c>
      <c r="C4" s="1"/>
      <c r="D4" s="1"/>
      <c r="E4" s="1"/>
      <c r="F4" s="98"/>
      <c r="G4" s="21"/>
      <c r="H4" s="2"/>
      <c r="I4" s="2"/>
      <c r="J4" s="2"/>
      <c r="K4" s="2"/>
      <c r="L4" s="2"/>
      <c r="M4" s="2"/>
      <c r="N4" s="38"/>
      <c r="O4" s="1"/>
      <c r="P4" s="1"/>
    </row>
    <row r="5" spans="1:16" ht="12.75">
      <c r="A5" s="4" t="s">
        <v>11</v>
      </c>
      <c r="B5" s="113">
        <f>B4/1150</f>
        <v>0.6782608695652174</v>
      </c>
      <c r="C5" s="5"/>
      <c r="D5" s="5"/>
      <c r="E5" s="5"/>
      <c r="F5" s="21"/>
      <c r="G5" s="21"/>
      <c r="H5" s="2"/>
      <c r="I5" s="2"/>
      <c r="J5" s="2"/>
      <c r="K5" s="2"/>
      <c r="L5" s="2"/>
      <c r="M5" s="2"/>
      <c r="N5" s="38"/>
      <c r="O5" s="1"/>
      <c r="P5" s="1"/>
    </row>
    <row r="6" spans="1:16" ht="12.75">
      <c r="A6" s="4" t="s">
        <v>18</v>
      </c>
      <c r="B6" s="114">
        <f>B5*8760</f>
        <v>5941.565217391304</v>
      </c>
      <c r="C6" s="40"/>
      <c r="D6" s="5"/>
      <c r="E6" s="5"/>
      <c r="F6" s="21"/>
      <c r="G6" s="21"/>
      <c r="H6" s="2"/>
      <c r="I6" s="2"/>
      <c r="J6" s="2"/>
      <c r="K6" s="2"/>
      <c r="L6" s="2"/>
      <c r="M6" s="2"/>
      <c r="N6" s="38"/>
      <c r="O6" s="1"/>
      <c r="P6" s="1"/>
    </row>
    <row r="7" spans="1:16" ht="12.75" hidden="1">
      <c r="A7" s="4" t="s">
        <v>13</v>
      </c>
      <c r="B7" s="115">
        <v>0</v>
      </c>
      <c r="C7" s="5"/>
      <c r="D7" s="5"/>
      <c r="E7" s="5"/>
      <c r="F7" s="5"/>
      <c r="G7" s="5"/>
      <c r="H7" s="41"/>
      <c r="I7" s="41"/>
      <c r="J7" s="41"/>
      <c r="K7" s="41"/>
      <c r="L7" s="41"/>
      <c r="M7" s="41"/>
      <c r="N7" s="38"/>
      <c r="O7" s="1"/>
      <c r="P7" s="1"/>
    </row>
    <row r="8" spans="1:16" ht="12.75">
      <c r="A8" s="4"/>
      <c r="B8" s="115"/>
      <c r="C8" s="5"/>
      <c r="D8" s="5"/>
      <c r="E8" s="5"/>
      <c r="F8" s="5"/>
      <c r="G8" s="5"/>
      <c r="H8" s="41"/>
      <c r="I8" s="41"/>
      <c r="J8" s="41"/>
      <c r="K8" s="41"/>
      <c r="L8" s="41"/>
      <c r="M8" s="41"/>
      <c r="N8" s="38"/>
      <c r="O8" s="1"/>
      <c r="P8" s="1"/>
    </row>
    <row r="9" spans="1:16" ht="12.75">
      <c r="A9" s="39" t="s">
        <v>19</v>
      </c>
      <c r="B9" s="116"/>
      <c r="C9" s="5"/>
      <c r="D9" s="5"/>
      <c r="E9" s="5"/>
      <c r="F9" s="5"/>
      <c r="G9" s="5"/>
      <c r="H9" s="41"/>
      <c r="I9" s="41"/>
      <c r="J9" s="41"/>
      <c r="K9" s="41"/>
      <c r="L9" s="41"/>
      <c r="M9" s="41"/>
      <c r="N9" s="38"/>
      <c r="O9" s="1"/>
      <c r="P9" s="1"/>
    </row>
    <row r="10" spans="1:16" ht="12.75">
      <c r="A10" s="1" t="s">
        <v>20</v>
      </c>
      <c r="B10" s="117">
        <v>4.443</v>
      </c>
      <c r="C10" s="42" t="s">
        <v>62</v>
      </c>
      <c r="D10" s="43"/>
      <c r="E10" s="44"/>
      <c r="F10" s="44"/>
      <c r="G10" s="44"/>
      <c r="H10" s="44"/>
      <c r="I10" s="41"/>
      <c r="J10" s="41"/>
      <c r="K10" s="41"/>
      <c r="L10" s="41"/>
      <c r="M10" s="41"/>
      <c r="N10" s="38"/>
      <c r="O10" s="1"/>
      <c r="P10" s="1"/>
    </row>
    <row r="11" spans="1:16" ht="12.75">
      <c r="A11" s="1" t="s">
        <v>21</v>
      </c>
      <c r="B11" s="117">
        <v>3.994</v>
      </c>
      <c r="C11" s="42" t="s">
        <v>60</v>
      </c>
      <c r="D11" s="43"/>
      <c r="E11" s="44"/>
      <c r="F11" s="44"/>
      <c r="G11" s="41"/>
      <c r="H11" s="44"/>
      <c r="I11" s="41"/>
      <c r="J11" s="41"/>
      <c r="K11" s="41"/>
      <c r="L11" s="41"/>
      <c r="M11" s="41"/>
      <c r="N11" s="38"/>
      <c r="O11" s="1"/>
      <c r="P11" s="1"/>
    </row>
    <row r="12" spans="1:16" ht="12.75">
      <c r="A12" s="1" t="s">
        <v>22</v>
      </c>
      <c r="B12" s="117">
        <v>2.698</v>
      </c>
      <c r="C12" s="42" t="s">
        <v>61</v>
      </c>
      <c r="D12" s="43"/>
      <c r="E12" s="44"/>
      <c r="F12" s="44"/>
      <c r="G12" s="44"/>
      <c r="H12" s="44"/>
      <c r="I12" s="41"/>
      <c r="J12" s="41"/>
      <c r="K12" s="41"/>
      <c r="L12" s="41"/>
      <c r="M12" s="41"/>
      <c r="N12" s="38"/>
      <c r="O12" s="1"/>
      <c r="P12" s="1"/>
    </row>
    <row r="13" spans="1:16" ht="12.75">
      <c r="A13" s="1" t="s">
        <v>23</v>
      </c>
      <c r="B13" s="114">
        <f>B11*0.08</f>
        <v>0.31952</v>
      </c>
      <c r="C13" s="43"/>
      <c r="D13" s="43"/>
      <c r="E13" s="44"/>
      <c r="F13" s="44"/>
      <c r="G13" s="44"/>
      <c r="H13" s="44"/>
      <c r="I13" s="41"/>
      <c r="J13" s="41"/>
      <c r="K13" s="41"/>
      <c r="L13" s="41"/>
      <c r="M13" s="41"/>
      <c r="N13" s="38"/>
      <c r="O13" s="1"/>
      <c r="P13" s="1"/>
    </row>
    <row r="14" spans="1:16" ht="12.75">
      <c r="A14" s="1" t="s">
        <v>24</v>
      </c>
      <c r="B14" s="114">
        <f>B12*0.08</f>
        <v>0.21584</v>
      </c>
      <c r="C14" s="43"/>
      <c r="D14" s="43"/>
      <c r="E14" s="44"/>
      <c r="F14" s="44"/>
      <c r="G14" s="44"/>
      <c r="H14" s="44"/>
      <c r="I14" s="41"/>
      <c r="J14" s="41"/>
      <c r="K14" s="41"/>
      <c r="L14" s="41"/>
      <c r="M14" s="41"/>
      <c r="N14" s="38"/>
      <c r="O14" s="1"/>
      <c r="P14" s="1"/>
    </row>
    <row r="15" spans="1:16" ht="12.75">
      <c r="A15" s="1" t="s">
        <v>25</v>
      </c>
      <c r="B15" s="118">
        <v>0.14</v>
      </c>
      <c r="C15" s="43"/>
      <c r="D15" s="43"/>
      <c r="E15" s="44"/>
      <c r="F15" s="44"/>
      <c r="G15" s="44"/>
      <c r="H15" s="44"/>
      <c r="I15" s="41"/>
      <c r="J15" s="41"/>
      <c r="K15" s="41"/>
      <c r="L15" s="41"/>
      <c r="M15" s="41"/>
      <c r="N15" s="38"/>
      <c r="O15" s="1"/>
      <c r="P15" s="1"/>
    </row>
    <row r="16" spans="1:16" ht="6.75" customHeight="1">
      <c r="A16" s="5"/>
      <c r="B16" s="45"/>
      <c r="C16" s="45"/>
      <c r="D16" s="45"/>
      <c r="E16" s="45"/>
      <c r="F16" s="45"/>
      <c r="G16" s="45"/>
      <c r="H16" s="2"/>
      <c r="I16" s="2"/>
      <c r="J16" s="2"/>
      <c r="K16" s="2"/>
      <c r="L16" s="2"/>
      <c r="M16" s="2"/>
      <c r="N16" s="38"/>
      <c r="O16" s="1"/>
      <c r="P16" s="1"/>
    </row>
    <row r="17" spans="1:16" ht="6.75" customHeight="1" thickBo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8"/>
      <c r="O17" s="1"/>
      <c r="P17" s="1"/>
    </row>
    <row r="18" spans="1:19" ht="13.5" thickTop="1">
      <c r="A18" s="6"/>
      <c r="B18" s="46"/>
      <c r="C18" s="47" t="s">
        <v>26</v>
      </c>
      <c r="D18" s="48"/>
      <c r="E18" s="48"/>
      <c r="F18" s="49"/>
      <c r="G18" s="46" t="s">
        <v>27</v>
      </c>
      <c r="H18" s="46" t="s">
        <v>28</v>
      </c>
      <c r="I18" s="46" t="s">
        <v>9</v>
      </c>
      <c r="J18" s="46" t="s">
        <v>29</v>
      </c>
      <c r="K18" s="46"/>
      <c r="L18" s="46" t="s">
        <v>30</v>
      </c>
      <c r="M18" s="46"/>
      <c r="N18" s="46" t="s">
        <v>31</v>
      </c>
      <c r="O18" s="50" t="s">
        <v>31</v>
      </c>
      <c r="P18" s="51" t="s">
        <v>32</v>
      </c>
      <c r="Q18" s="48"/>
      <c r="R18" s="52"/>
      <c r="S18" s="53"/>
    </row>
    <row r="19" spans="1:19" ht="12.75">
      <c r="A19" s="7"/>
      <c r="B19" s="54" t="s">
        <v>6</v>
      </c>
      <c r="C19" s="55" t="s">
        <v>33</v>
      </c>
      <c r="D19" s="56"/>
      <c r="E19" s="57" t="s">
        <v>34</v>
      </c>
      <c r="F19" s="56"/>
      <c r="G19" s="58" t="s">
        <v>35</v>
      </c>
      <c r="H19" s="54" t="s">
        <v>36</v>
      </c>
      <c r="I19" s="54" t="s">
        <v>37</v>
      </c>
      <c r="J19" s="54" t="s">
        <v>38</v>
      </c>
      <c r="K19" s="54" t="s">
        <v>39</v>
      </c>
      <c r="L19" s="54" t="s">
        <v>40</v>
      </c>
      <c r="M19" s="54" t="s">
        <v>30</v>
      </c>
      <c r="N19" s="54" t="s">
        <v>41</v>
      </c>
      <c r="O19" s="59" t="s">
        <v>42</v>
      </c>
      <c r="P19" s="60" t="s">
        <v>43</v>
      </c>
      <c r="Q19" s="61" t="s">
        <v>9</v>
      </c>
      <c r="R19" s="62" t="s">
        <v>30</v>
      </c>
      <c r="S19" s="63" t="s">
        <v>31</v>
      </c>
    </row>
    <row r="20" spans="1:19" ht="13.5" thickBot="1">
      <c r="A20" s="8" t="s">
        <v>7</v>
      </c>
      <c r="B20" s="9" t="s">
        <v>15</v>
      </c>
      <c r="C20" s="64" t="s">
        <v>1</v>
      </c>
      <c r="D20" s="64" t="s">
        <v>44</v>
      </c>
      <c r="E20" s="64" t="s">
        <v>45</v>
      </c>
      <c r="F20" s="64" t="s">
        <v>44</v>
      </c>
      <c r="G20" s="9" t="s">
        <v>46</v>
      </c>
      <c r="H20" s="9" t="s">
        <v>46</v>
      </c>
      <c r="I20" s="9" t="s">
        <v>47</v>
      </c>
      <c r="J20" s="9" t="s">
        <v>48</v>
      </c>
      <c r="K20" s="9" t="s">
        <v>49</v>
      </c>
      <c r="L20" s="9" t="s">
        <v>46</v>
      </c>
      <c r="M20" s="9" t="s">
        <v>49</v>
      </c>
      <c r="N20" s="9" t="s">
        <v>46</v>
      </c>
      <c r="O20" s="65" t="s">
        <v>50</v>
      </c>
      <c r="P20" s="10" t="s">
        <v>51</v>
      </c>
      <c r="Q20" s="66" t="s">
        <v>51</v>
      </c>
      <c r="R20" s="9" t="s">
        <v>52</v>
      </c>
      <c r="S20" s="67" t="s">
        <v>52</v>
      </c>
    </row>
    <row r="21" spans="1:19" ht="13.5" thickTop="1">
      <c r="A21" s="15" t="s">
        <v>54</v>
      </c>
      <c r="B21" s="27">
        <v>0.0009</v>
      </c>
      <c r="C21" s="12">
        <f aca="true" t="shared" si="0" ref="C21:C31">$B$5*B21*(1-$B$7)</f>
        <v>0.0006104347826086956</v>
      </c>
      <c r="D21" s="12">
        <f aca="true" t="shared" si="1" ref="D21:D32">C21*453.59/3600</f>
        <v>7.691308695652174E-05</v>
      </c>
      <c r="E21" s="12">
        <f aca="true" t="shared" si="2" ref="E21:E30">$B$6*B21*(1-$B$7)</f>
        <v>5.347408695652174</v>
      </c>
      <c r="F21" s="12">
        <f aca="true" t="shared" si="3" ref="F21:F32">E21/8760*453.59/3600</f>
        <v>7.691308695652174E-05</v>
      </c>
      <c r="G21" s="12">
        <f aca="true" t="shared" si="4" ref="G21:G30">D21*$B$10</f>
        <v>0.00034172484534782604</v>
      </c>
      <c r="H21" s="12">
        <f aca="true" t="shared" si="5" ref="H21:H32">$B$13*F21</f>
        <v>2.4575269544347828E-05</v>
      </c>
      <c r="I21" s="12">
        <f aca="true" t="shared" si="6" ref="I21:I32">$B$14*F21</f>
        <v>1.6600920688695652E-05</v>
      </c>
      <c r="J21" s="31">
        <v>2.7E-06</v>
      </c>
      <c r="K21" s="32">
        <v>1</v>
      </c>
      <c r="L21" s="31">
        <v>9</v>
      </c>
      <c r="M21" s="36">
        <v>1</v>
      </c>
      <c r="N21" s="31" t="str">
        <f>"---"</f>
        <v>---</v>
      </c>
      <c r="O21" s="68" t="s">
        <v>53</v>
      </c>
      <c r="P21" s="104">
        <f>IF(J21="N/A","N/A",H21*J21*K21)</f>
        <v>6.635322776973914E-11</v>
      </c>
      <c r="Q21" s="70">
        <f>IF(J21="N/A","N/A",I21*J21*K21*$B$15)</f>
        <v>6.2751480203269575E-12</v>
      </c>
      <c r="R21" s="12">
        <f aca="true" t="shared" si="7" ref="R21:R32">IF(L21="N/A","N/A",MAX(H21,I21)*M21/L21)</f>
        <v>2.7305855049275363E-06</v>
      </c>
      <c r="S21" s="100" t="str">
        <f>"---"</f>
        <v>---</v>
      </c>
    </row>
    <row r="22" spans="1:19" ht="12.75">
      <c r="A22" s="15" t="s">
        <v>55</v>
      </c>
      <c r="B22" s="22">
        <v>0.0008</v>
      </c>
      <c r="C22" s="12">
        <f t="shared" si="0"/>
        <v>0.0005426086956521739</v>
      </c>
      <c r="D22" s="12">
        <f t="shared" si="1"/>
        <v>6.83671884057971E-05</v>
      </c>
      <c r="E22" s="12">
        <f t="shared" si="2"/>
        <v>4.753252173913044</v>
      </c>
      <c r="F22" s="12">
        <f t="shared" si="3"/>
        <v>6.836718840579711E-05</v>
      </c>
      <c r="G22" s="12">
        <f t="shared" si="4"/>
        <v>0.0003037554180869565</v>
      </c>
      <c r="H22" s="12">
        <f t="shared" si="5"/>
        <v>2.1844684039420294E-05</v>
      </c>
      <c r="I22" s="12">
        <f t="shared" si="6"/>
        <v>1.4756373945507249E-05</v>
      </c>
      <c r="J22" s="12" t="str">
        <f aca="true" t="shared" si="8" ref="J22:K24">"---"</f>
        <v>---</v>
      </c>
      <c r="K22" s="34" t="str">
        <f t="shared" si="8"/>
        <v>---</v>
      </c>
      <c r="L22" s="12">
        <v>0.06</v>
      </c>
      <c r="M22" s="37">
        <v>1</v>
      </c>
      <c r="N22" s="12">
        <v>0.19</v>
      </c>
      <c r="O22" s="71">
        <v>1</v>
      </c>
      <c r="P22" s="24" t="str">
        <f aca="true" t="shared" si="9" ref="P22:Q24">"---"</f>
        <v>---</v>
      </c>
      <c r="Q22" s="68" t="str">
        <f t="shared" si="9"/>
        <v>---</v>
      </c>
      <c r="R22" s="12">
        <f t="shared" si="7"/>
        <v>0.0003640780673236716</v>
      </c>
      <c r="S22" s="22">
        <f aca="true" t="shared" si="10" ref="S22:S32">IF(N22="N/A","N/A",G22/N22)</f>
        <v>0.0015987127267734552</v>
      </c>
    </row>
    <row r="23" spans="1:19" ht="12.75">
      <c r="A23" s="15" t="s">
        <v>56</v>
      </c>
      <c r="B23" s="22">
        <v>0.01553</v>
      </c>
      <c r="C23" s="12">
        <f t="shared" si="0"/>
        <v>0.010533391304347826</v>
      </c>
      <c r="D23" s="12">
        <f t="shared" si="1"/>
        <v>0.0013271780449275361</v>
      </c>
      <c r="E23" s="12">
        <f t="shared" si="2"/>
        <v>92.27250782608695</v>
      </c>
      <c r="F23" s="12">
        <f t="shared" si="3"/>
        <v>0.0013271780449275361</v>
      </c>
      <c r="G23" s="12">
        <f t="shared" si="4"/>
        <v>0.0058966520536130424</v>
      </c>
      <c r="H23" s="12">
        <f t="shared" si="5"/>
        <v>0.0004240599289152464</v>
      </c>
      <c r="I23" s="12">
        <f t="shared" si="6"/>
        <v>0.0002864581092171594</v>
      </c>
      <c r="J23" s="12" t="str">
        <f t="shared" si="8"/>
        <v>---</v>
      </c>
      <c r="K23" s="13" t="str">
        <f t="shared" si="8"/>
        <v>---</v>
      </c>
      <c r="L23" s="12">
        <v>3000</v>
      </c>
      <c r="M23" s="37">
        <v>1</v>
      </c>
      <c r="N23" s="12" t="str">
        <f>"---"</f>
        <v>---</v>
      </c>
      <c r="O23" s="71" t="s">
        <v>53</v>
      </c>
      <c r="P23" s="24" t="str">
        <f t="shared" si="9"/>
        <v>---</v>
      </c>
      <c r="Q23" s="68" t="str">
        <f t="shared" si="9"/>
        <v>---</v>
      </c>
      <c r="R23" s="12">
        <f t="shared" si="7"/>
        <v>1.4135330963841547E-07</v>
      </c>
      <c r="S23" s="101" t="str">
        <f>"---"</f>
        <v>---</v>
      </c>
    </row>
    <row r="24" spans="1:19" ht="12.75">
      <c r="A24" s="15" t="s">
        <v>57</v>
      </c>
      <c r="B24" s="22">
        <v>0.0058</v>
      </c>
      <c r="C24" s="12">
        <f t="shared" si="0"/>
        <v>0.003933913043478261</v>
      </c>
      <c r="D24" s="12">
        <f t="shared" si="1"/>
        <v>0.0004956621159420289</v>
      </c>
      <c r="E24" s="12">
        <f t="shared" si="2"/>
        <v>34.46107826086956</v>
      </c>
      <c r="F24" s="12">
        <f t="shared" si="3"/>
        <v>0.0004956621159420289</v>
      </c>
      <c r="G24" s="12">
        <f t="shared" si="4"/>
        <v>0.002202226781130434</v>
      </c>
      <c r="H24" s="12">
        <f t="shared" si="5"/>
        <v>0.00015837395928579707</v>
      </c>
      <c r="I24" s="12">
        <f t="shared" si="6"/>
        <v>0.00010698371110492752</v>
      </c>
      <c r="J24" s="12" t="str">
        <f t="shared" si="8"/>
        <v>---</v>
      </c>
      <c r="K24" s="34" t="str">
        <f t="shared" si="8"/>
        <v>---</v>
      </c>
      <c r="L24" s="12">
        <v>700</v>
      </c>
      <c r="M24" s="13">
        <v>1</v>
      </c>
      <c r="N24" s="97">
        <v>22000</v>
      </c>
      <c r="O24" s="71">
        <v>1</v>
      </c>
      <c r="P24" s="105" t="str">
        <f t="shared" si="9"/>
        <v>---</v>
      </c>
      <c r="Q24" s="102" t="str">
        <f t="shared" si="9"/>
        <v>---</v>
      </c>
      <c r="R24" s="12">
        <f t="shared" si="7"/>
        <v>2.262485132654244E-07</v>
      </c>
      <c r="S24" s="22">
        <f t="shared" si="10"/>
        <v>1.0010121732411064E-07</v>
      </c>
    </row>
    <row r="25" spans="1:19" ht="12.75">
      <c r="A25" s="15" t="s">
        <v>2</v>
      </c>
      <c r="B25" s="22">
        <v>0.0017</v>
      </c>
      <c r="C25" s="12">
        <f t="shared" si="0"/>
        <v>0.0011530434782608694</v>
      </c>
      <c r="D25" s="12">
        <f t="shared" si="1"/>
        <v>0.00014528027536231882</v>
      </c>
      <c r="E25" s="12">
        <f t="shared" si="2"/>
        <v>10.100660869565216</v>
      </c>
      <c r="F25" s="12">
        <f t="shared" si="3"/>
        <v>0.00014528027536231882</v>
      </c>
      <c r="G25" s="12">
        <f t="shared" si="4"/>
        <v>0.0006454802634347825</v>
      </c>
      <c r="H25" s="12">
        <f t="shared" si="5"/>
        <v>4.641995358376811E-05</v>
      </c>
      <c r="I25" s="12">
        <f t="shared" si="6"/>
        <v>3.13572946342029E-05</v>
      </c>
      <c r="J25" s="14">
        <v>2.9E-05</v>
      </c>
      <c r="K25" s="13">
        <v>1</v>
      </c>
      <c r="L25" s="14">
        <v>60</v>
      </c>
      <c r="M25" s="13">
        <v>1</v>
      </c>
      <c r="N25" s="14">
        <v>1300</v>
      </c>
      <c r="O25" s="71">
        <v>6</v>
      </c>
      <c r="P25" s="69">
        <f>IF(J25="N/A","N/A",H25*J25*K25)</f>
        <v>1.3461786539292752E-09</v>
      </c>
      <c r="Q25" s="70">
        <f>IF(J25="N/A","N/A",I25*J25*K25*$B$15)</f>
        <v>1.2731061621486377E-10</v>
      </c>
      <c r="R25" s="12">
        <f t="shared" si="7"/>
        <v>7.736658930628018E-07</v>
      </c>
      <c r="S25" s="22">
        <f t="shared" si="10"/>
        <v>4.965232795652173E-07</v>
      </c>
    </row>
    <row r="26" spans="1:19" ht="12.75">
      <c r="A26" s="15" t="s">
        <v>58</v>
      </c>
      <c r="B26" s="22">
        <v>0.002</v>
      </c>
      <c r="C26" s="12">
        <f t="shared" si="0"/>
        <v>0.0013565217391304347</v>
      </c>
      <c r="D26" s="12">
        <f t="shared" si="1"/>
        <v>0.00017091797101449272</v>
      </c>
      <c r="E26" s="12">
        <f t="shared" si="2"/>
        <v>11.883130434782608</v>
      </c>
      <c r="F26" s="12">
        <f t="shared" si="3"/>
        <v>0.00017091797101449272</v>
      </c>
      <c r="G26" s="12">
        <f t="shared" si="4"/>
        <v>0.000759388545217391</v>
      </c>
      <c r="H26" s="12">
        <f t="shared" si="5"/>
        <v>5.4611710098550716E-05</v>
      </c>
      <c r="I26" s="12">
        <f t="shared" si="6"/>
        <v>3.689093486376811E-05</v>
      </c>
      <c r="J26" s="14" t="str">
        <f>"---"</f>
        <v>---</v>
      </c>
      <c r="K26" s="13" t="str">
        <f>"---"</f>
        <v>---</v>
      </c>
      <c r="L26" s="12">
        <v>2000</v>
      </c>
      <c r="M26" s="37">
        <v>1</v>
      </c>
      <c r="N26" s="12" t="str">
        <f>"---"</f>
        <v>---</v>
      </c>
      <c r="O26" s="99" t="s">
        <v>53</v>
      </c>
      <c r="P26" s="25" t="str">
        <f>"---"</f>
        <v>---</v>
      </c>
      <c r="Q26" s="103" t="str">
        <f>"---"</f>
        <v>---</v>
      </c>
      <c r="R26" s="12">
        <f t="shared" si="7"/>
        <v>2.7305855049275357E-08</v>
      </c>
      <c r="S26" s="101" t="str">
        <f>"---"</f>
        <v>---</v>
      </c>
    </row>
    <row r="27" spans="1:19" ht="12.75">
      <c r="A27" s="15" t="s">
        <v>3</v>
      </c>
      <c r="B27" s="23">
        <v>0.0036</v>
      </c>
      <c r="C27" s="12">
        <f t="shared" si="0"/>
        <v>0.0024417391304347824</v>
      </c>
      <c r="D27" s="12">
        <f t="shared" si="1"/>
        <v>0.00030765234782608694</v>
      </c>
      <c r="E27" s="12">
        <f t="shared" si="2"/>
        <v>21.389634782608695</v>
      </c>
      <c r="F27" s="12">
        <f t="shared" si="3"/>
        <v>0.00030765234782608694</v>
      </c>
      <c r="G27" s="12">
        <f t="shared" si="4"/>
        <v>0.0013668993813913042</v>
      </c>
      <c r="H27" s="12">
        <f t="shared" si="5"/>
        <v>9.830107817739131E-05</v>
      </c>
      <c r="I27" s="12">
        <f t="shared" si="6"/>
        <v>6.640368275478261E-05</v>
      </c>
      <c r="J27" s="14">
        <v>6E-06</v>
      </c>
      <c r="K27" s="13">
        <v>1</v>
      </c>
      <c r="L27" s="14">
        <v>3</v>
      </c>
      <c r="M27" s="13">
        <v>1</v>
      </c>
      <c r="N27" s="14">
        <v>94</v>
      </c>
      <c r="O27" s="73">
        <v>1</v>
      </c>
      <c r="P27" s="69">
        <f>IF(J27="N/A","N/A",H27*J27*K27)</f>
        <v>5.898064690643479E-10</v>
      </c>
      <c r="Q27" s="70">
        <f>IF(J27="N/A","N/A",I27*J27*K27*$B$15)</f>
        <v>5.57790935140174E-11</v>
      </c>
      <c r="R27" s="12">
        <f t="shared" si="7"/>
        <v>3.276702605913044E-05</v>
      </c>
      <c r="S27" s="22">
        <f t="shared" si="10"/>
        <v>1.4541482780758556E-05</v>
      </c>
    </row>
    <row r="28" spans="1:19" ht="12.75">
      <c r="A28" s="15" t="s">
        <v>14</v>
      </c>
      <c r="B28" s="22">
        <v>0.0013</v>
      </c>
      <c r="C28" s="12">
        <f t="shared" si="0"/>
        <v>0.0008817391304347825</v>
      </c>
      <c r="D28" s="12">
        <f t="shared" si="1"/>
        <v>0.00011109668115942027</v>
      </c>
      <c r="E28" s="12">
        <f t="shared" si="2"/>
        <v>7.724034782608695</v>
      </c>
      <c r="F28" s="12">
        <f t="shared" si="3"/>
        <v>0.00011109668115942027</v>
      </c>
      <c r="G28" s="12">
        <f t="shared" si="4"/>
        <v>0.0004936025543913042</v>
      </c>
      <c r="H28" s="12">
        <f t="shared" si="5"/>
        <v>3.549761156405797E-05</v>
      </c>
      <c r="I28" s="12">
        <f t="shared" si="6"/>
        <v>2.3979107661449273E-05</v>
      </c>
      <c r="J28" s="12" t="str">
        <f aca="true" t="shared" si="11" ref="J28:K30">"---"</f>
        <v>---</v>
      </c>
      <c r="K28" s="12" t="str">
        <f t="shared" si="11"/>
        <v>---</v>
      </c>
      <c r="L28" s="14">
        <v>7000</v>
      </c>
      <c r="M28" s="13">
        <v>1</v>
      </c>
      <c r="N28" s="12" t="str">
        <f>"---"</f>
        <v>---</v>
      </c>
      <c r="O28" s="99" t="s">
        <v>53</v>
      </c>
      <c r="P28" s="24" t="str">
        <f aca="true" t="shared" si="12" ref="P28:Q30">"---"</f>
        <v>---</v>
      </c>
      <c r="Q28" s="68" t="str">
        <f t="shared" si="12"/>
        <v>---</v>
      </c>
      <c r="R28" s="12">
        <f t="shared" si="7"/>
        <v>5.071087366293996E-09</v>
      </c>
      <c r="S28" s="101" t="str">
        <f>"---"</f>
        <v>---</v>
      </c>
    </row>
    <row r="29" spans="1:19" ht="12.75">
      <c r="A29" s="15" t="s">
        <v>5</v>
      </c>
      <c r="B29" s="22">
        <v>0.0003</v>
      </c>
      <c r="C29" s="12">
        <f t="shared" si="0"/>
        <v>0.0002034782608695652</v>
      </c>
      <c r="D29" s="12">
        <f t="shared" si="1"/>
        <v>2.5637695652173912E-05</v>
      </c>
      <c r="E29" s="12">
        <f t="shared" si="2"/>
        <v>1.782469565217391</v>
      </c>
      <c r="F29" s="12">
        <f t="shared" si="3"/>
        <v>2.563769565217391E-05</v>
      </c>
      <c r="G29" s="12">
        <f t="shared" si="4"/>
        <v>0.00011390828178260867</v>
      </c>
      <c r="H29" s="12">
        <f t="shared" si="5"/>
        <v>8.191756514782608E-06</v>
      </c>
      <c r="I29" s="12">
        <f t="shared" si="6"/>
        <v>5.533640229565217E-06</v>
      </c>
      <c r="J29" s="12" t="str">
        <f t="shared" si="11"/>
        <v>---</v>
      </c>
      <c r="K29" s="12" t="str">
        <f t="shared" si="11"/>
        <v>---</v>
      </c>
      <c r="L29" s="14">
        <v>9</v>
      </c>
      <c r="M29" s="13">
        <v>1</v>
      </c>
      <c r="N29" s="12" t="str">
        <f>"---"</f>
        <v>---</v>
      </c>
      <c r="O29" s="71" t="s">
        <v>53</v>
      </c>
      <c r="P29" s="24" t="str">
        <f t="shared" si="12"/>
        <v>---</v>
      </c>
      <c r="Q29" s="68" t="str">
        <f t="shared" si="12"/>
        <v>---</v>
      </c>
      <c r="R29" s="12">
        <f t="shared" si="7"/>
        <v>9.101951683091787E-07</v>
      </c>
      <c r="S29" s="101" t="str">
        <f>"---"</f>
        <v>---</v>
      </c>
    </row>
    <row r="30" spans="1:19" ht="12.75">
      <c r="A30" s="15" t="s">
        <v>4</v>
      </c>
      <c r="B30" s="22">
        <v>0.0078</v>
      </c>
      <c r="C30" s="12">
        <f t="shared" si="0"/>
        <v>0.005290434782608695</v>
      </c>
      <c r="D30" s="12">
        <f t="shared" si="1"/>
        <v>0.0006665800869565216</v>
      </c>
      <c r="E30" s="12">
        <f t="shared" si="2"/>
        <v>46.34420869565217</v>
      </c>
      <c r="F30" s="12">
        <f t="shared" si="3"/>
        <v>0.0006665800869565216</v>
      </c>
      <c r="G30" s="12">
        <f t="shared" si="4"/>
        <v>0.002961615326347825</v>
      </c>
      <c r="H30" s="12">
        <f t="shared" si="5"/>
        <v>0.0002129856693843478</v>
      </c>
      <c r="I30" s="12">
        <f t="shared" si="6"/>
        <v>0.00014387464596869563</v>
      </c>
      <c r="J30" s="12" t="str">
        <f t="shared" si="11"/>
        <v>---</v>
      </c>
      <c r="K30" s="12" t="str">
        <f t="shared" si="11"/>
        <v>---</v>
      </c>
      <c r="L30" s="14">
        <v>300</v>
      </c>
      <c r="M30" s="13">
        <v>1</v>
      </c>
      <c r="N30" s="14">
        <v>37000</v>
      </c>
      <c r="O30" s="71">
        <v>1</v>
      </c>
      <c r="P30" s="105" t="str">
        <f t="shared" si="12"/>
        <v>---</v>
      </c>
      <c r="Q30" s="102" t="str">
        <f t="shared" si="12"/>
        <v>---</v>
      </c>
      <c r="R30" s="12">
        <f t="shared" si="7"/>
        <v>7.099522312811593E-07</v>
      </c>
      <c r="S30" s="22">
        <f t="shared" si="10"/>
        <v>8.004365746886013E-08</v>
      </c>
    </row>
    <row r="31" spans="1:19" ht="12.75">
      <c r="A31" s="107" t="s">
        <v>59</v>
      </c>
      <c r="B31" s="22">
        <f>0.0004-B29</f>
        <v>0.00010000000000000005</v>
      </c>
      <c r="C31" s="103">
        <f t="shared" si="0"/>
        <v>6.782608695652176E-05</v>
      </c>
      <c r="D31" s="12">
        <f t="shared" si="1"/>
        <v>8.545898550724639E-06</v>
      </c>
      <c r="E31" s="12">
        <f>$B$6*B31*(1-$B$7)</f>
        <v>0.5941565217391307</v>
      </c>
      <c r="F31" s="12">
        <f t="shared" si="3"/>
        <v>8.54589855072464E-06</v>
      </c>
      <c r="G31" s="12">
        <f>D31*$B$10</f>
        <v>3.796942726086957E-05</v>
      </c>
      <c r="H31" s="12">
        <f t="shared" si="5"/>
        <v>2.7305855049275376E-06</v>
      </c>
      <c r="I31" s="12">
        <f t="shared" si="6"/>
        <v>1.8445467431884065E-06</v>
      </c>
      <c r="J31" s="14">
        <v>0.0011</v>
      </c>
      <c r="K31" s="13">
        <v>12.7</v>
      </c>
      <c r="L31" s="12" t="str">
        <f>"---"</f>
        <v>---</v>
      </c>
      <c r="M31" s="12" t="str">
        <f>"---"</f>
        <v>---</v>
      </c>
      <c r="N31" s="12" t="str">
        <f>"---"</f>
        <v>---</v>
      </c>
      <c r="O31" s="108" t="s">
        <v>53</v>
      </c>
      <c r="P31" s="69">
        <f>IF(J31="N/A","N/A",H31*J31*K31)</f>
        <v>3.81462795038377E-08</v>
      </c>
      <c r="Q31" s="70">
        <f>IF(J31="N/A","N/A",I31*J31*K31*$B$15)</f>
        <v>3.6075645203278863E-09</v>
      </c>
      <c r="R31" s="34" t="str">
        <f>"---"</f>
        <v>---</v>
      </c>
      <c r="S31" s="101" t="str">
        <f>"---"</f>
        <v>---</v>
      </c>
    </row>
    <row r="32" spans="1:19" ht="13.5" thickBot="1">
      <c r="A32" s="96" t="s">
        <v>63</v>
      </c>
      <c r="B32" s="28" t="str">
        <f>"---"</f>
        <v>---</v>
      </c>
      <c r="C32" s="106">
        <v>3.47</v>
      </c>
      <c r="D32" s="30">
        <f t="shared" si="1"/>
        <v>0.4372103611111111</v>
      </c>
      <c r="E32" s="30">
        <f>C32*8760</f>
        <v>30397.2</v>
      </c>
      <c r="F32" s="30">
        <f t="shared" si="3"/>
        <v>0.4372103611111111</v>
      </c>
      <c r="G32" s="30">
        <f>D32*$B$10</f>
        <v>1.9425256344166666</v>
      </c>
      <c r="H32" s="30">
        <f t="shared" si="5"/>
        <v>0.13969745458222224</v>
      </c>
      <c r="I32" s="30">
        <f t="shared" si="6"/>
        <v>0.09436748434222222</v>
      </c>
      <c r="J32" s="29" t="str">
        <f>"---"</f>
        <v>---</v>
      </c>
      <c r="K32" s="17" t="str">
        <f>"---"</f>
        <v>---</v>
      </c>
      <c r="L32" s="30">
        <v>200</v>
      </c>
      <c r="M32" s="110">
        <v>1</v>
      </c>
      <c r="N32" s="30">
        <v>3200</v>
      </c>
      <c r="O32" s="112">
        <v>1</v>
      </c>
      <c r="P32" s="72" t="str">
        <f>"---"</f>
        <v>---</v>
      </c>
      <c r="Q32" s="109" t="str">
        <f>"---"</f>
        <v>---</v>
      </c>
      <c r="R32" s="30">
        <f t="shared" si="7"/>
        <v>0.0006984872729111112</v>
      </c>
      <c r="S32" s="28">
        <f t="shared" si="10"/>
        <v>0.0006070392607552083</v>
      </c>
    </row>
    <row r="33" spans="1:19" ht="13.5" thickTop="1">
      <c r="A33" s="11"/>
      <c r="B33" s="4"/>
      <c r="C33" s="4"/>
      <c r="D33" s="4"/>
      <c r="E33" s="4"/>
      <c r="F33" s="4"/>
      <c r="G33" s="4"/>
      <c r="H33" s="18"/>
      <c r="I33" s="18"/>
      <c r="J33" s="18"/>
      <c r="K33" s="18"/>
      <c r="L33" s="18"/>
      <c r="M33" s="18"/>
      <c r="N33" s="18"/>
      <c r="O33" s="73"/>
      <c r="P33" s="74"/>
      <c r="Q33" s="75"/>
      <c r="R33" s="76"/>
      <c r="S33" s="71"/>
    </row>
    <row r="34" spans="1:19" ht="12.75">
      <c r="A34" s="77" t="s">
        <v>0</v>
      </c>
      <c r="B34" s="78"/>
      <c r="C34" s="78"/>
      <c r="D34" s="78"/>
      <c r="E34" s="111"/>
      <c r="F34" s="78"/>
      <c r="G34" s="78"/>
      <c r="H34" s="79"/>
      <c r="I34" s="79"/>
      <c r="J34" s="79"/>
      <c r="K34" s="79"/>
      <c r="L34" s="79"/>
      <c r="M34" s="79"/>
      <c r="N34" s="79"/>
      <c r="O34" s="80"/>
      <c r="P34" s="81">
        <f>SUM(P21:P32)</f>
        <v>4.014861785460106E-08</v>
      </c>
      <c r="Q34" s="82">
        <f>SUM(Q21:Q32)</f>
        <v>3.796929378077095E-09</v>
      </c>
      <c r="R34" s="83">
        <f>SUM(R21:R32)</f>
        <v>0.0011008567438568133</v>
      </c>
      <c r="S34" s="84">
        <f>SUM(S21:S32)</f>
        <v>0.0022209701384637804</v>
      </c>
    </row>
    <row r="35" spans="1:19" ht="12.75">
      <c r="A35" s="85" t="s">
        <v>10</v>
      </c>
      <c r="B35" s="78"/>
      <c r="C35" s="78"/>
      <c r="D35" s="78"/>
      <c r="E35" s="78"/>
      <c r="F35" s="78"/>
      <c r="G35" s="78"/>
      <c r="H35" s="79"/>
      <c r="I35" s="79"/>
      <c r="J35" s="79"/>
      <c r="K35" s="79"/>
      <c r="L35" s="79"/>
      <c r="M35" s="79"/>
      <c r="N35" s="79"/>
      <c r="O35" s="80"/>
      <c r="P35" s="86">
        <v>1E-06</v>
      </c>
      <c r="Q35" s="87">
        <v>1E-06</v>
      </c>
      <c r="R35" s="88">
        <v>1</v>
      </c>
      <c r="S35" s="89">
        <v>1</v>
      </c>
    </row>
    <row r="36" spans="1:19" ht="13.5" thickBot="1">
      <c r="A36" s="16" t="s">
        <v>8</v>
      </c>
      <c r="B36" s="19"/>
      <c r="C36" s="19"/>
      <c r="D36" s="19"/>
      <c r="E36" s="19"/>
      <c r="F36" s="19"/>
      <c r="G36" s="19"/>
      <c r="H36" s="90"/>
      <c r="I36" s="90"/>
      <c r="J36" s="90"/>
      <c r="K36" s="90"/>
      <c r="L36" s="90"/>
      <c r="M36" s="90"/>
      <c r="N36" s="90"/>
      <c r="O36" s="91"/>
      <c r="P36" s="20" t="str">
        <f>IF(P34&gt;P35,"YES","NO")</f>
        <v>NO</v>
      </c>
      <c r="Q36" s="92" t="str">
        <f>IF(Q34&gt;Q35,"YES","NO")</f>
        <v>NO</v>
      </c>
      <c r="R36" s="17" t="str">
        <f>IF(R34&gt;R35,"YES","NO")</f>
        <v>NO</v>
      </c>
      <c r="S36" s="93" t="str">
        <f>IF(S34&gt;S35,"YES","NO")</f>
        <v>NO</v>
      </c>
    </row>
    <row r="37" spans="1:16" ht="6.75" customHeight="1" thickTop="1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38"/>
      <c r="O37" s="1"/>
      <c r="P37" s="1"/>
    </row>
    <row r="38" spans="1:16" ht="12.75" customHeight="1">
      <c r="A38" s="33" t="s">
        <v>66</v>
      </c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38"/>
      <c r="O38" s="1"/>
      <c r="P38" s="1"/>
    </row>
    <row r="39" ht="12.75">
      <c r="A39" s="33" t="s">
        <v>64</v>
      </c>
    </row>
    <row r="40" spans="1:17" ht="12.75">
      <c r="A40" s="5" t="s">
        <v>12</v>
      </c>
      <c r="B40" s="5"/>
      <c r="C40" s="5"/>
      <c r="D40" s="5"/>
      <c r="E40" s="5"/>
      <c r="F40" s="5"/>
      <c r="G40" s="5"/>
      <c r="H40" s="41"/>
      <c r="I40" s="41"/>
      <c r="J40" s="41"/>
      <c r="K40" s="41"/>
      <c r="L40" s="41"/>
      <c r="M40" s="41"/>
      <c r="N40" s="94"/>
      <c r="O40" s="5"/>
      <c r="P40" s="5"/>
      <c r="Q40" s="95"/>
    </row>
    <row r="41" ht="12.75">
      <c r="A41" s="21" t="s">
        <v>65</v>
      </c>
    </row>
    <row r="43" ht="12.75">
      <c r="A43" s="5"/>
    </row>
  </sheetData>
  <sheetProtection/>
  <printOptions/>
  <pageMargins left="0.58" right="0.43" top="1" bottom="1" header="0.5" footer="0.5"/>
  <pageSetup fitToHeight="1" fitToWidth="1" horizontalDpi="600" verticalDpi="600" orientation="landscape" scale="63" r:id="rId1"/>
  <headerFooter alignWithMargins="0">
    <oddHeader>&amp;C&amp;"Times New Roman,Bold"&amp;19Table B-2&amp;"Times New Roman,Regular"
Health Risk Analysis</oddHeader>
    <oddFooter>&amp;R&amp;"Times New Roman,Bold"&amp;16February 12,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Westbrook Environmental,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Westbrook</dc:creator>
  <cp:keywords/>
  <dc:description/>
  <cp:lastModifiedBy>dsasaki</cp:lastModifiedBy>
  <cp:lastPrinted>2003-02-12T18:13:21Z</cp:lastPrinted>
  <dcterms:created xsi:type="dcterms:W3CDTF">1998-08-28T17:04:23Z</dcterms:created>
  <dcterms:modified xsi:type="dcterms:W3CDTF">2014-08-06T19:13:47Z</dcterms:modified>
  <cp:category/>
  <cp:version/>
  <cp:contentType/>
  <cp:contentStatus/>
</cp:coreProperties>
</file>