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tabRatio="599" activeTab="0"/>
  </bookViews>
  <sheets>
    <sheet name="Blast" sheetId="1" r:id="rId1"/>
    <sheet name="Pool Fire" sheetId="2" r:id="rId2"/>
  </sheets>
  <definedNames>
    <definedName name="_xlnm.Print_Area" localSheetId="0">'Blast'!$A$1:$H$31</definedName>
    <definedName name="_xlnm.Print_Area" localSheetId="1">'Pool Fire'!$A$1:$H$46</definedName>
    <definedName name="_xlnm.Print_Titles" localSheetId="0">'Blast'!$1:$1</definedName>
    <definedName name="_xlnm.Print_Titles" localSheetId="1">'Pool Fire'!$1:$1</definedName>
  </definedNames>
  <calcPr calcMode="manual" fullCalcOnLoad="1"/>
</workbook>
</file>

<file path=xl/sharedStrings.xml><?xml version="1.0" encoding="utf-8"?>
<sst xmlns="http://schemas.openxmlformats.org/spreadsheetml/2006/main" count="148" uniqueCount="98">
  <si>
    <t>Chemical</t>
  </si>
  <si>
    <t>Container</t>
  </si>
  <si>
    <t>Gallons</t>
  </si>
  <si>
    <t>Area (sq m)</t>
  </si>
  <si>
    <t>Pounds</t>
  </si>
  <si>
    <t>x (m)</t>
  </si>
  <si>
    <t>A (m**2)</t>
  </si>
  <si>
    <t>Tb (K)</t>
  </si>
  <si>
    <t>Ta (K)</t>
  </si>
  <si>
    <t>Wt (kg)</t>
  </si>
  <si>
    <t>Hc (joules/kg)</t>
  </si>
  <si>
    <t>Hc (J/kg)</t>
  </si>
  <si>
    <t>Hv (J/kg)</t>
  </si>
  <si>
    <t>Cp (j/kgK)</t>
  </si>
  <si>
    <t>Hv (joules/kg)</t>
  </si>
  <si>
    <t>Scenario</t>
  </si>
  <si>
    <t>Input</t>
  </si>
  <si>
    <t>Tank Vol (BBL)</t>
  </si>
  <si>
    <t>Reference</t>
  </si>
  <si>
    <t>Petroleum Refining, J. Gary and G Handwerk, Marcel Dekker, Inc, 1975</t>
  </si>
  <si>
    <t>References</t>
  </si>
  <si>
    <t>Description</t>
  </si>
  <si>
    <t>Containment Area (sq ft)</t>
  </si>
  <si>
    <t>Containment Depth (ft)</t>
  </si>
  <si>
    <t>Cp   (joules/kg-K)</t>
  </si>
  <si>
    <t>Hc    (joules/kg)</t>
  </si>
  <si>
    <t>Barrels</t>
  </si>
  <si>
    <t>Kg</t>
  </si>
  <si>
    <t>Event Type</t>
  </si>
  <si>
    <t>Explosion</t>
  </si>
  <si>
    <t>Scenario Definitions</t>
  </si>
  <si>
    <t>Tank Vol (Gal)</t>
  </si>
  <si>
    <t>Size (BBL)</t>
  </si>
  <si>
    <t>Volume (cu ft)</t>
  </si>
  <si>
    <t>Chemical Physical Parameters</t>
  </si>
  <si>
    <t>Density (lb/ft3)</t>
  </si>
  <si>
    <t>BP, Email Angela Steinmuller, BP to Arrie Bachrach, ENSR, 11/29/04</t>
  </si>
  <si>
    <t>0,1</t>
  </si>
  <si>
    <t>Old Vacuum Tower</t>
  </si>
  <si>
    <t>New Vacuum Tower</t>
  </si>
  <si>
    <t>Diesel Vapor</t>
  </si>
  <si>
    <t>Size (lbs)</t>
  </si>
  <si>
    <t>Chevron Products</t>
  </si>
  <si>
    <t>http://www.chevron.com/prodserv/fuels/bulletin/diesel/L2_4_6rf.htm</t>
  </si>
  <si>
    <t>Pool Fire</t>
  </si>
  <si>
    <t>Diesel Liquid</t>
  </si>
  <si>
    <t>1,2</t>
  </si>
  <si>
    <t>X</t>
  </si>
  <si>
    <t>Distance from point source to receptor</t>
  </si>
  <si>
    <t>m</t>
  </si>
  <si>
    <t>X =</t>
  </si>
  <si>
    <t>Hc</t>
  </si>
  <si>
    <t>J/Kg</t>
  </si>
  <si>
    <t>Heat of Combustion</t>
  </si>
  <si>
    <t>A</t>
  </si>
  <si>
    <t>m2</t>
  </si>
  <si>
    <t>Hv</t>
  </si>
  <si>
    <t>Heat of Vaporization</t>
  </si>
  <si>
    <t>Cp</t>
  </si>
  <si>
    <t>J/Kg-K</t>
  </si>
  <si>
    <t>Liquid Heat Capacity</t>
  </si>
  <si>
    <t>Tb</t>
  </si>
  <si>
    <t>K</t>
  </si>
  <si>
    <t>Boiling Temperature</t>
  </si>
  <si>
    <t>Pool Area</t>
  </si>
  <si>
    <t>Ta</t>
  </si>
  <si>
    <t>Ambient Temperature</t>
  </si>
  <si>
    <t>-</t>
  </si>
  <si>
    <t>Constant</t>
  </si>
  <si>
    <r>
      <t xml:space="preserve">Hc * SQRT ( 0.0001 * A / ( 5000 * </t>
    </r>
    <r>
      <rPr>
        <b/>
        <sz val="10"/>
        <rFont val="Symbol"/>
        <family val="1"/>
      </rPr>
      <t>p</t>
    </r>
    <r>
      <rPr>
        <b/>
        <sz val="10"/>
        <rFont val="Arial"/>
        <family val="0"/>
      </rPr>
      <t xml:space="preserve"> * (Hv + Cp * ( Tb - Ta))))</t>
    </r>
  </si>
  <si>
    <t>D =</t>
  </si>
  <si>
    <t>D</t>
  </si>
  <si>
    <t>Wf</t>
  </si>
  <si>
    <t>HCf</t>
  </si>
  <si>
    <t>HCtnt</t>
  </si>
  <si>
    <t>Distance to overpressure of 1 psi</t>
  </si>
  <si>
    <t>Weight of flammable substance</t>
  </si>
  <si>
    <t>Heat of Combustion of flammable substance</t>
  </si>
  <si>
    <t>Heat of explosion of trinitrotoluene (TNT)</t>
  </si>
  <si>
    <t>KJ/Kg</t>
  </si>
  <si>
    <t>17 * ( 0.1 * Wf * HCf / HCtnt )^1/3</t>
  </si>
  <si>
    <t>Ft3</t>
  </si>
  <si>
    <t>EPA RMP Off-Site Consequence Analysis Guideline (5/24/96), Equation D-25 for pool fire with boiling point above ambient temperature.</t>
  </si>
  <si>
    <t>EPA RMP Off-Site Consequence Analysis Guideline (5/24/96), Equation C-1.</t>
  </si>
  <si>
    <t>Table 1</t>
  </si>
  <si>
    <t>Table 1-A</t>
  </si>
  <si>
    <t>Table 1-B</t>
  </si>
  <si>
    <t>Table 1-C</t>
  </si>
  <si>
    <t>Blast. Distance to Overpressure of 1 psi.</t>
  </si>
  <si>
    <t>No. 51 VDU Vacuum Distillation Tower Vapor Explosion</t>
  </si>
  <si>
    <t>No. 51 VDU Vacuum Distillation Tower Pool Fire</t>
  </si>
  <si>
    <t>Table 2</t>
  </si>
  <si>
    <t>Table 2-A</t>
  </si>
  <si>
    <t>Table 2-B</t>
  </si>
  <si>
    <t>Table 2-C</t>
  </si>
  <si>
    <t>Table 2-D</t>
  </si>
  <si>
    <t>Pool Fire.  Boiling Point above Ambient Temperature.  Distance to Energy Flux of 5kW/m^2</t>
  </si>
  <si>
    <t>Blast Distance to Overpressure of 1 psi.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</si>
</sst>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1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1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7" fillId="0" borderId="15" xfId="52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11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5" fontId="0" fillId="0" borderId="11" xfId="42" applyNumberFormat="1" applyFont="1" applyBorder="1" applyAlignment="1">
      <alignment/>
    </xf>
    <xf numFmtId="166" fontId="0" fillId="0" borderId="11" xfId="0" applyNumberFormat="1" applyFont="1" applyBorder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1" fontId="0" fillId="0" borderId="11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11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7" fillId="0" borderId="15" xfId="52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165" fontId="0" fillId="0" borderId="11" xfId="42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3.140625" style="0" customWidth="1"/>
    <col min="2" max="2" width="17.57421875" style="0" customWidth="1"/>
    <col min="3" max="3" width="14.421875" style="0" customWidth="1"/>
    <col min="4" max="4" width="12.28125" style="0" customWidth="1"/>
    <col min="5" max="5" width="14.7109375" style="0" customWidth="1"/>
    <col min="6" max="6" width="13.00390625" style="0" customWidth="1"/>
    <col min="7" max="7" width="13.140625" style="0" bestFit="1" customWidth="1"/>
    <col min="8" max="8" width="12.7109375" style="2" customWidth="1"/>
    <col min="9" max="9" width="11.00390625" style="0" customWidth="1"/>
    <col min="10" max="10" width="9.28125" style="0" bestFit="1" customWidth="1"/>
    <col min="11" max="11" width="9.140625" style="2" customWidth="1"/>
  </cols>
  <sheetData>
    <row r="1" spans="1:9" ht="12.75">
      <c r="A1" s="62" t="s">
        <v>84</v>
      </c>
      <c r="B1" s="62"/>
      <c r="C1" s="62"/>
      <c r="D1" s="62"/>
      <c r="E1" s="62"/>
      <c r="F1" s="62"/>
      <c r="G1" s="62"/>
      <c r="H1" s="62"/>
      <c r="I1" s="7"/>
    </row>
    <row r="2" spans="1:9" ht="12.75">
      <c r="A2" s="62" t="s">
        <v>89</v>
      </c>
      <c r="B2" s="62"/>
      <c r="C2" s="62"/>
      <c r="D2" s="62"/>
      <c r="E2" s="62"/>
      <c r="F2" s="62"/>
      <c r="G2" s="62"/>
      <c r="H2" s="62"/>
      <c r="I2" s="7"/>
    </row>
    <row r="3" spans="1:9" ht="12.75">
      <c r="A3" s="1"/>
      <c r="B3" s="7"/>
      <c r="C3" s="7"/>
      <c r="D3" s="7"/>
      <c r="E3" s="7"/>
      <c r="F3" s="7"/>
      <c r="G3" s="7"/>
      <c r="H3" s="21"/>
      <c r="I3" s="7"/>
    </row>
    <row r="4" spans="1:9" ht="12.75">
      <c r="A4" s="62" t="s">
        <v>85</v>
      </c>
      <c r="B4" s="62"/>
      <c r="C4" s="62"/>
      <c r="D4" s="62"/>
      <c r="E4" s="62"/>
      <c r="F4" s="62"/>
      <c r="G4" s="62"/>
      <c r="H4" s="62"/>
      <c r="I4" s="7"/>
    </row>
    <row r="5" spans="1:9" ht="12.75">
      <c r="A5" s="63" t="s">
        <v>34</v>
      </c>
      <c r="B5" s="63"/>
      <c r="C5" s="63"/>
      <c r="D5" s="63"/>
      <c r="E5" s="63"/>
      <c r="F5" s="63"/>
      <c r="G5" s="63"/>
      <c r="H5" s="63"/>
      <c r="I5" s="7"/>
    </row>
    <row r="6" spans="1:9" ht="26.25">
      <c r="A6" s="9" t="s">
        <v>16</v>
      </c>
      <c r="B6" s="9" t="s">
        <v>0</v>
      </c>
      <c r="C6" s="11" t="s">
        <v>25</v>
      </c>
      <c r="D6" s="11" t="s">
        <v>14</v>
      </c>
      <c r="E6" s="11" t="s">
        <v>24</v>
      </c>
      <c r="F6" s="12" t="s">
        <v>7</v>
      </c>
      <c r="G6" s="12" t="s">
        <v>35</v>
      </c>
      <c r="H6" s="11" t="s">
        <v>18</v>
      </c>
      <c r="I6" s="7"/>
    </row>
    <row r="7" spans="1:9" ht="12.75">
      <c r="A7" s="23">
        <v>0</v>
      </c>
      <c r="B7" s="24" t="s">
        <v>40</v>
      </c>
      <c r="C7" s="25">
        <v>48100000</v>
      </c>
      <c r="D7" s="23">
        <v>275218</v>
      </c>
      <c r="E7" s="23">
        <v>2183</v>
      </c>
      <c r="F7" s="26">
        <v>447</v>
      </c>
      <c r="G7" s="23">
        <v>0.018</v>
      </c>
      <c r="H7" s="23" t="s">
        <v>37</v>
      </c>
      <c r="I7" s="7"/>
    </row>
    <row r="8" spans="1:9" ht="12.75">
      <c r="A8" s="23">
        <v>1</v>
      </c>
      <c r="B8" s="24" t="s">
        <v>45</v>
      </c>
      <c r="C8" s="25">
        <v>48100000</v>
      </c>
      <c r="D8" s="23">
        <v>275218</v>
      </c>
      <c r="E8" s="23">
        <v>2183</v>
      </c>
      <c r="F8" s="26">
        <v>447</v>
      </c>
      <c r="G8" s="23">
        <f>ROUND(0.85/453.6*1000*3.785,2)</f>
        <v>7.09</v>
      </c>
      <c r="H8" s="23" t="s">
        <v>46</v>
      </c>
      <c r="I8" s="7"/>
    </row>
    <row r="9" spans="1:9" ht="12.75">
      <c r="A9" s="8" t="s">
        <v>20</v>
      </c>
      <c r="B9" s="53"/>
      <c r="C9" s="53"/>
      <c r="D9" s="53"/>
      <c r="E9" s="53"/>
      <c r="F9" s="53"/>
      <c r="G9" s="53"/>
      <c r="H9" s="54"/>
      <c r="I9" s="7"/>
    </row>
    <row r="10" spans="1:9" ht="12.75">
      <c r="A10" s="29">
        <v>0</v>
      </c>
      <c r="B10" s="30" t="s">
        <v>36</v>
      </c>
      <c r="C10" s="53"/>
      <c r="D10" s="53"/>
      <c r="E10" s="53"/>
      <c r="F10" s="53"/>
      <c r="G10" s="53"/>
      <c r="H10" s="54"/>
      <c r="I10" s="7"/>
    </row>
    <row r="11" spans="1:9" ht="12.75">
      <c r="A11" s="29">
        <v>1</v>
      </c>
      <c r="B11" s="30" t="s">
        <v>19</v>
      </c>
      <c r="C11" s="55"/>
      <c r="D11" s="55"/>
      <c r="E11" s="56"/>
      <c r="F11" s="55"/>
      <c r="G11" s="55"/>
      <c r="H11" s="57"/>
      <c r="I11" s="7"/>
    </row>
    <row r="12" spans="1:9" ht="12.75">
      <c r="A12" s="23">
        <v>2</v>
      </c>
      <c r="B12" s="30" t="s">
        <v>42</v>
      </c>
      <c r="C12" s="58" t="s">
        <v>43</v>
      </c>
      <c r="D12" s="55"/>
      <c r="E12" s="56"/>
      <c r="F12" s="55"/>
      <c r="G12" s="55"/>
      <c r="H12" s="57"/>
      <c r="I12" s="7"/>
    </row>
    <row r="13" spans="1:9" ht="12.75">
      <c r="A13" s="7"/>
      <c r="B13" s="7"/>
      <c r="C13" s="7"/>
      <c r="D13" s="7"/>
      <c r="E13" s="7"/>
      <c r="F13" s="7"/>
      <c r="G13" s="7"/>
      <c r="H13" s="52"/>
      <c r="I13" s="7"/>
    </row>
    <row r="14" spans="1:9" ht="12.75">
      <c r="A14" s="62" t="s">
        <v>86</v>
      </c>
      <c r="B14" s="62"/>
      <c r="C14" s="62"/>
      <c r="D14" s="62"/>
      <c r="E14" s="62"/>
      <c r="F14" s="62"/>
      <c r="G14" s="62"/>
      <c r="H14" s="52"/>
      <c r="I14" s="7"/>
    </row>
    <row r="15" spans="1:9" ht="12.75">
      <c r="A15" s="63" t="s">
        <v>30</v>
      </c>
      <c r="B15" s="63"/>
      <c r="C15" s="63"/>
      <c r="D15" s="63"/>
      <c r="E15" s="63"/>
      <c r="F15" s="63"/>
      <c r="G15" s="63"/>
      <c r="H15" s="52"/>
      <c r="I15" s="7"/>
    </row>
    <row r="16" spans="1:9" ht="12.75">
      <c r="A16" s="9" t="s">
        <v>15</v>
      </c>
      <c r="B16" s="9" t="s">
        <v>1</v>
      </c>
      <c r="C16" s="9" t="s">
        <v>28</v>
      </c>
      <c r="D16" s="9" t="s">
        <v>0</v>
      </c>
      <c r="E16" s="9" t="s">
        <v>81</v>
      </c>
      <c r="F16" s="13" t="s">
        <v>4</v>
      </c>
      <c r="G16" s="13" t="s">
        <v>27</v>
      </c>
      <c r="H16" s="52"/>
      <c r="I16" s="7"/>
    </row>
    <row r="17" spans="1:9" ht="12.75">
      <c r="A17" s="23">
        <v>1</v>
      </c>
      <c r="B17" s="24" t="s">
        <v>39</v>
      </c>
      <c r="C17" s="24" t="s">
        <v>29</v>
      </c>
      <c r="D17" s="24" t="s">
        <v>40</v>
      </c>
      <c r="E17" s="14">
        <v>67000</v>
      </c>
      <c r="F17" s="14">
        <f>ROUND(E17*VLOOKUP(D17,$B$7:$G$8,6,FALSE),-2)</f>
        <v>1200</v>
      </c>
      <c r="G17" s="14">
        <f>F17*453.6/1000</f>
        <v>544.32</v>
      </c>
      <c r="H17" s="52"/>
      <c r="I17" s="7"/>
    </row>
    <row r="18" spans="1:9" ht="12.75">
      <c r="A18" s="23">
        <v>2</v>
      </c>
      <c r="B18" s="24" t="s">
        <v>38</v>
      </c>
      <c r="C18" s="24" t="s">
        <v>29</v>
      </c>
      <c r="D18" s="24" t="s">
        <v>40</v>
      </c>
      <c r="E18" s="14">
        <v>27000</v>
      </c>
      <c r="F18" s="14">
        <f>ROUND(E18*VLOOKUP(D18,$B$7:$G$8,6,FALSE),-2)</f>
        <v>500</v>
      </c>
      <c r="G18" s="14">
        <f>F18*453.6/1000</f>
        <v>226.8</v>
      </c>
      <c r="H18" s="52"/>
      <c r="I18" s="7"/>
    </row>
    <row r="19" spans="1:9" ht="12.75">
      <c r="A19" s="7"/>
      <c r="B19" s="1"/>
      <c r="C19" s="1"/>
      <c r="D19" s="1"/>
      <c r="E19" s="7"/>
      <c r="F19" s="7"/>
      <c r="G19" s="5"/>
      <c r="H19" s="52"/>
      <c r="I19" s="7"/>
    </row>
    <row r="20" spans="1:9" ht="12.75">
      <c r="A20" s="62" t="s">
        <v>87</v>
      </c>
      <c r="B20" s="62"/>
      <c r="C20" s="62"/>
      <c r="D20" s="62"/>
      <c r="E20" s="62"/>
      <c r="F20" s="62"/>
      <c r="G20" s="62"/>
      <c r="H20" s="52"/>
      <c r="I20" s="7"/>
    </row>
    <row r="21" spans="1:11" ht="12.75">
      <c r="A21" s="63" t="s">
        <v>88</v>
      </c>
      <c r="B21" s="63"/>
      <c r="C21" s="63"/>
      <c r="D21" s="63"/>
      <c r="E21" s="63"/>
      <c r="F21" s="63"/>
      <c r="G21" s="63"/>
      <c r="H21" s="5"/>
      <c r="I21" s="4"/>
      <c r="J21" s="3"/>
      <c r="K21" s="6"/>
    </row>
    <row r="22" spans="1:9" ht="12.75">
      <c r="A22" s="9" t="s">
        <v>15</v>
      </c>
      <c r="B22" s="9" t="s">
        <v>21</v>
      </c>
      <c r="C22" s="9" t="s">
        <v>41</v>
      </c>
      <c r="D22" s="9" t="s">
        <v>0</v>
      </c>
      <c r="E22" s="9" t="s">
        <v>9</v>
      </c>
      <c r="F22" s="9" t="s">
        <v>10</v>
      </c>
      <c r="G22" s="9" t="s">
        <v>5</v>
      </c>
      <c r="H22" s="52"/>
      <c r="I22" s="7"/>
    </row>
    <row r="23" spans="1:9" ht="12.75">
      <c r="A23" s="23">
        <v>1</v>
      </c>
      <c r="B23" s="59" t="str">
        <f>VLOOKUP($A23,$A$17:$G$18,2,FALSE)</f>
        <v>New Vacuum Tower</v>
      </c>
      <c r="C23" s="60">
        <f>VLOOKUP($A23,$A$17:$G$18,6,FALSE)</f>
        <v>1200</v>
      </c>
      <c r="D23" s="60" t="str">
        <f>VLOOKUP($A23,$A$17:$G$18,4,FALSE)</f>
        <v>Diesel Vapor</v>
      </c>
      <c r="E23" s="60">
        <f>VLOOKUP(A23,$A$17:$G$18,7,FALSE)</f>
        <v>544.32</v>
      </c>
      <c r="F23" s="25">
        <f>VLOOKUP(D23,$B$7:$G$8,2,FALSE)</f>
        <v>48100000</v>
      </c>
      <c r="G23" s="14">
        <f>ROUND(17*(0.1*E23*F23/4680000)^0.3333,-1)</f>
        <v>140</v>
      </c>
      <c r="H23" s="52"/>
      <c r="I23" s="7"/>
    </row>
    <row r="24" spans="1:9" ht="12.75">
      <c r="A24" s="23">
        <v>2</v>
      </c>
      <c r="B24" s="59" t="str">
        <f>VLOOKUP($A24,$A$17:$G$18,2,FALSE)</f>
        <v>Old Vacuum Tower</v>
      </c>
      <c r="C24" s="60">
        <f>VLOOKUP($A24,$A$17:$G$18,6,FALSE)</f>
        <v>500</v>
      </c>
      <c r="D24" s="60" t="str">
        <f>VLOOKUP($A24,$A$17:$G$18,4,FALSE)</f>
        <v>Diesel Vapor</v>
      </c>
      <c r="E24" s="60">
        <f>VLOOKUP(A24,$A$17:$G$18,7,FALSE)</f>
        <v>226.8</v>
      </c>
      <c r="F24" s="25">
        <f>VLOOKUP(D24,$B$7:$G$8,2,FALSE)</f>
        <v>48100000</v>
      </c>
      <c r="G24" s="14">
        <f>ROUND(17*(0.1*E24*F24/4680000)^0.3333,-1)</f>
        <v>100</v>
      </c>
      <c r="H24" s="52"/>
      <c r="I24" s="7"/>
    </row>
    <row r="25" spans="1:9" ht="12.75">
      <c r="A25" s="16" t="s">
        <v>83</v>
      </c>
      <c r="B25" s="7"/>
      <c r="C25" s="7"/>
      <c r="D25" s="7"/>
      <c r="E25" s="7"/>
      <c r="F25" s="7"/>
      <c r="G25" s="52"/>
      <c r="H25" s="52"/>
      <c r="I25" s="7"/>
    </row>
    <row r="26" spans="1:9" ht="12.75">
      <c r="A26" s="7"/>
      <c r="B26" s="7"/>
      <c r="C26" s="7"/>
      <c r="D26" s="7"/>
      <c r="E26" s="7"/>
      <c r="F26" s="7"/>
      <c r="G26" s="52"/>
      <c r="H26" s="52"/>
      <c r="I26" s="7"/>
    </row>
    <row r="27" spans="1:9" ht="12.75">
      <c r="A27" s="61" t="s">
        <v>70</v>
      </c>
      <c r="B27" s="1" t="s">
        <v>80</v>
      </c>
      <c r="C27" s="1"/>
      <c r="D27" s="7"/>
      <c r="E27" s="7"/>
      <c r="F27" s="7"/>
      <c r="G27" s="7"/>
      <c r="H27" s="52"/>
      <c r="I27" s="7"/>
    </row>
    <row r="28" spans="1:9" ht="12.75">
      <c r="A28" s="4" t="s">
        <v>71</v>
      </c>
      <c r="B28" s="7" t="s">
        <v>49</v>
      </c>
      <c r="C28" s="7" t="s">
        <v>75</v>
      </c>
      <c r="D28" s="7"/>
      <c r="E28" s="7"/>
      <c r="F28" s="7"/>
      <c r="G28" s="7"/>
      <c r="H28" s="52"/>
      <c r="I28" s="7"/>
    </row>
    <row r="29" spans="1:9" ht="12.75">
      <c r="A29" s="4" t="s">
        <v>72</v>
      </c>
      <c r="B29" s="7" t="s">
        <v>27</v>
      </c>
      <c r="C29" s="7" t="s">
        <v>76</v>
      </c>
      <c r="D29" s="7"/>
      <c r="E29" s="7"/>
      <c r="F29" s="7"/>
      <c r="G29" s="7"/>
      <c r="H29" s="52"/>
      <c r="I29" s="7"/>
    </row>
    <row r="30" spans="1:9" ht="12.75">
      <c r="A30" s="4" t="s">
        <v>73</v>
      </c>
      <c r="B30" s="7" t="s">
        <v>79</v>
      </c>
      <c r="C30" s="7" t="s">
        <v>77</v>
      </c>
      <c r="D30" s="7"/>
      <c r="E30" s="7"/>
      <c r="F30" s="7"/>
      <c r="G30" s="7"/>
      <c r="H30" s="52"/>
      <c r="I30" s="7"/>
    </row>
    <row r="31" spans="1:9" ht="12.75">
      <c r="A31" s="4" t="s">
        <v>74</v>
      </c>
      <c r="B31" s="7" t="s">
        <v>79</v>
      </c>
      <c r="C31" s="7" t="s">
        <v>78</v>
      </c>
      <c r="D31" s="7"/>
      <c r="E31" s="7"/>
      <c r="F31" s="7"/>
      <c r="G31" s="7"/>
      <c r="H31" s="52"/>
      <c r="I31" s="7"/>
    </row>
    <row r="32" spans="1:3" ht="12.75">
      <c r="A32" s="3"/>
      <c r="C32" s="7"/>
    </row>
    <row r="33" spans="1:7" ht="12.75">
      <c r="A33" s="3"/>
      <c r="C33" s="7"/>
      <c r="D33" s="2"/>
      <c r="E33" s="2"/>
      <c r="F33" s="2"/>
      <c r="G33" s="2"/>
    </row>
    <row r="34" spans="1:8" ht="12.75">
      <c r="A34" s="3"/>
      <c r="C34" s="7"/>
      <c r="H34"/>
    </row>
    <row r="35" spans="1:8" ht="12.75">
      <c r="A35" s="3"/>
      <c r="C35" s="7"/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G41" s="2"/>
    </row>
    <row r="42" ht="12.75">
      <c r="G42" s="2"/>
    </row>
    <row r="43" ht="12.75">
      <c r="G43" s="2"/>
    </row>
  </sheetData>
  <sheetProtection/>
  <mergeCells count="8">
    <mergeCell ref="A1:H1"/>
    <mergeCell ref="A2:H2"/>
    <mergeCell ref="A21:G21"/>
    <mergeCell ref="A20:G20"/>
    <mergeCell ref="A15:G15"/>
    <mergeCell ref="A14:G14"/>
    <mergeCell ref="A5:H5"/>
    <mergeCell ref="A4:H4"/>
  </mergeCells>
  <hyperlinks>
    <hyperlink ref="C12" location="'Mobil Hazards'!A1" display="http://www.chevron.com/prodserv/fuels/bulletin/diesel/L2_4_6rf.htm"/>
  </hyperlink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Footer>&amp;CC-&amp;P&amp;RMay 2005 Mitigated Negative Declaration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3.140625" style="0" customWidth="1"/>
    <col min="2" max="2" width="17.57421875" style="0" customWidth="1"/>
    <col min="3" max="3" width="14.421875" style="0" customWidth="1"/>
    <col min="4" max="4" width="12.28125" style="0" customWidth="1"/>
    <col min="5" max="5" width="14.7109375" style="0" customWidth="1"/>
    <col min="6" max="6" width="13.00390625" style="0" customWidth="1"/>
    <col min="7" max="7" width="13.140625" style="0" bestFit="1" customWidth="1"/>
    <col min="8" max="8" width="12.7109375" style="2" customWidth="1"/>
    <col min="9" max="9" width="11.00390625" style="0" customWidth="1"/>
    <col min="10" max="10" width="9.28125" style="0" bestFit="1" customWidth="1"/>
    <col min="11" max="11" width="9.140625" style="2" customWidth="1"/>
  </cols>
  <sheetData>
    <row r="1" spans="1:9" ht="12.75">
      <c r="A1" s="62" t="s">
        <v>91</v>
      </c>
      <c r="B1" s="62"/>
      <c r="C1" s="62"/>
      <c r="D1" s="62"/>
      <c r="E1" s="62"/>
      <c r="F1" s="62"/>
      <c r="G1" s="62"/>
      <c r="H1" s="62"/>
      <c r="I1" s="20"/>
    </row>
    <row r="2" spans="1:9" ht="12.75">
      <c r="A2" s="62" t="s">
        <v>90</v>
      </c>
      <c r="B2" s="62"/>
      <c r="C2" s="62"/>
      <c r="D2" s="62"/>
      <c r="E2" s="62"/>
      <c r="F2" s="62"/>
      <c r="G2" s="62"/>
      <c r="H2" s="62"/>
      <c r="I2" s="20"/>
    </row>
    <row r="3" spans="1:9" ht="12.75">
      <c r="A3" s="1"/>
      <c r="B3" s="20"/>
      <c r="C3" s="20"/>
      <c r="D3" s="20"/>
      <c r="E3" s="20"/>
      <c r="F3" s="20"/>
      <c r="G3" s="20"/>
      <c r="H3" s="21"/>
      <c r="I3" s="20"/>
    </row>
    <row r="4" spans="1:9" ht="12.75">
      <c r="A4" s="62" t="s">
        <v>92</v>
      </c>
      <c r="B4" s="62"/>
      <c r="C4" s="62"/>
      <c r="D4" s="62"/>
      <c r="E4" s="62"/>
      <c r="F4" s="62"/>
      <c r="G4" s="62"/>
      <c r="H4" s="62"/>
      <c r="I4" s="20"/>
    </row>
    <row r="5" spans="1:9" ht="12.75">
      <c r="A5" s="63" t="s">
        <v>34</v>
      </c>
      <c r="B5" s="63"/>
      <c r="C5" s="63"/>
      <c r="D5" s="63"/>
      <c r="E5" s="63"/>
      <c r="F5" s="63"/>
      <c r="G5" s="63"/>
      <c r="H5" s="63"/>
      <c r="I5" s="20"/>
    </row>
    <row r="6" spans="1:9" ht="26.25">
      <c r="A6" s="9" t="s">
        <v>16</v>
      </c>
      <c r="B6" s="9" t="s">
        <v>0</v>
      </c>
      <c r="C6" s="11" t="s">
        <v>25</v>
      </c>
      <c r="D6" s="11" t="s">
        <v>14</v>
      </c>
      <c r="E6" s="11" t="s">
        <v>24</v>
      </c>
      <c r="F6" s="12" t="s">
        <v>7</v>
      </c>
      <c r="G6" s="12" t="s">
        <v>35</v>
      </c>
      <c r="H6" s="11" t="s">
        <v>18</v>
      </c>
      <c r="I6" s="20"/>
    </row>
    <row r="7" spans="1:9" ht="12.75">
      <c r="A7" s="23">
        <v>0</v>
      </c>
      <c r="B7" s="24" t="s">
        <v>40</v>
      </c>
      <c r="C7" s="25">
        <v>48100000</v>
      </c>
      <c r="D7" s="23">
        <v>275218</v>
      </c>
      <c r="E7" s="23">
        <v>2183</v>
      </c>
      <c r="F7" s="26">
        <v>447</v>
      </c>
      <c r="G7" s="23">
        <v>0.018</v>
      </c>
      <c r="H7" s="23" t="s">
        <v>37</v>
      </c>
      <c r="I7" s="20"/>
    </row>
    <row r="8" spans="1:9" ht="12.75">
      <c r="A8" s="23">
        <v>1</v>
      </c>
      <c r="B8" s="24" t="s">
        <v>45</v>
      </c>
      <c r="C8" s="25">
        <v>48100000</v>
      </c>
      <c r="D8" s="23">
        <v>275218</v>
      </c>
      <c r="E8" s="23">
        <v>2183</v>
      </c>
      <c r="F8" s="26">
        <v>447</v>
      </c>
      <c r="G8" s="23">
        <f>ROUND(0.85/453.6*1000*3.785,2)</f>
        <v>7.09</v>
      </c>
      <c r="H8" s="23" t="s">
        <v>46</v>
      </c>
      <c r="I8" s="20"/>
    </row>
    <row r="9" spans="1:9" ht="12.75">
      <c r="A9" s="8" t="s">
        <v>20</v>
      </c>
      <c r="B9" s="27"/>
      <c r="C9" s="27"/>
      <c r="D9" s="27"/>
      <c r="E9" s="27"/>
      <c r="F9" s="27"/>
      <c r="G9" s="27"/>
      <c r="H9" s="28"/>
      <c r="I9" s="20"/>
    </row>
    <row r="10" spans="1:9" ht="12.75">
      <c r="A10" s="29">
        <v>0</v>
      </c>
      <c r="B10" s="30" t="s">
        <v>36</v>
      </c>
      <c r="C10" s="27"/>
      <c r="D10" s="27"/>
      <c r="E10" s="27"/>
      <c r="F10" s="27"/>
      <c r="G10" s="27"/>
      <c r="H10" s="28"/>
      <c r="I10" s="20"/>
    </row>
    <row r="11" spans="1:9" ht="12.75">
      <c r="A11" s="29">
        <v>1</v>
      </c>
      <c r="B11" s="30" t="s">
        <v>19</v>
      </c>
      <c r="C11" s="31"/>
      <c r="D11" s="31"/>
      <c r="E11" s="32"/>
      <c r="F11" s="31"/>
      <c r="G11" s="31"/>
      <c r="H11" s="33"/>
      <c r="I11" s="20"/>
    </row>
    <row r="12" spans="1:9" ht="12.75">
      <c r="A12" s="23">
        <v>2</v>
      </c>
      <c r="B12" s="30" t="s">
        <v>42</v>
      </c>
      <c r="C12" s="34" t="s">
        <v>43</v>
      </c>
      <c r="D12" s="35"/>
      <c r="E12" s="36"/>
      <c r="F12" s="35"/>
      <c r="G12" s="35"/>
      <c r="H12" s="37"/>
      <c r="I12" s="38"/>
    </row>
    <row r="13" spans="1:9" ht="12.75">
      <c r="A13" s="38"/>
      <c r="B13" s="38"/>
      <c r="C13" s="38"/>
      <c r="D13" s="38"/>
      <c r="E13" s="38"/>
      <c r="F13" s="38"/>
      <c r="G13" s="38"/>
      <c r="H13" s="39"/>
      <c r="I13" s="38"/>
    </row>
    <row r="14" spans="1:9" ht="12.75">
      <c r="A14" s="62" t="s">
        <v>93</v>
      </c>
      <c r="B14" s="62"/>
      <c r="C14" s="62"/>
      <c r="D14" s="62"/>
      <c r="E14" s="62"/>
      <c r="F14" s="62"/>
      <c r="G14" s="62"/>
      <c r="H14" s="62"/>
      <c r="I14" s="38"/>
    </row>
    <row r="15" spans="1:9" ht="12.75">
      <c r="A15" s="63" t="s">
        <v>30</v>
      </c>
      <c r="B15" s="63"/>
      <c r="C15" s="63"/>
      <c r="D15" s="63"/>
      <c r="E15" s="63"/>
      <c r="F15" s="63"/>
      <c r="G15" s="63"/>
      <c r="H15" s="63"/>
      <c r="I15" s="20"/>
    </row>
    <row r="16" spans="1:9" ht="12.75">
      <c r="A16" s="9" t="s">
        <v>15</v>
      </c>
      <c r="B16" s="9" t="s">
        <v>1</v>
      </c>
      <c r="C16" s="9" t="s">
        <v>28</v>
      </c>
      <c r="D16" s="9" t="s">
        <v>0</v>
      </c>
      <c r="E16" s="9" t="s">
        <v>26</v>
      </c>
      <c r="F16" s="9" t="s">
        <v>2</v>
      </c>
      <c r="G16" s="13" t="s">
        <v>4</v>
      </c>
      <c r="H16" s="13" t="s">
        <v>27</v>
      </c>
      <c r="I16" s="20"/>
    </row>
    <row r="17" spans="1:9" ht="12.75">
      <c r="A17" s="23">
        <v>3</v>
      </c>
      <c r="B17" s="24" t="s">
        <v>39</v>
      </c>
      <c r="C17" s="24" t="s">
        <v>44</v>
      </c>
      <c r="D17" s="24" t="s">
        <v>45</v>
      </c>
      <c r="E17" s="40">
        <f>F17/42</f>
        <v>436.29999999999995</v>
      </c>
      <c r="F17" s="14">
        <f>4363*42/10</f>
        <v>18324.6</v>
      </c>
      <c r="G17" s="14">
        <f>F17*VLOOKUP(D17,$B$7:$G$8,6,FALSE)</f>
        <v>129921.41399999999</v>
      </c>
      <c r="H17" s="14">
        <f>G17*453.6/1000</f>
        <v>58932.3533904</v>
      </c>
      <c r="I17" s="20"/>
    </row>
    <row r="18" spans="1:9" ht="12.75">
      <c r="A18" s="23">
        <v>4</v>
      </c>
      <c r="B18" s="24" t="s">
        <v>38</v>
      </c>
      <c r="C18" s="24" t="s">
        <v>44</v>
      </c>
      <c r="D18" s="24" t="s">
        <v>45</v>
      </c>
      <c r="E18" s="40">
        <f>F18/42</f>
        <v>417.9</v>
      </c>
      <c r="F18" s="14">
        <f>4179*42/10</f>
        <v>17551.8</v>
      </c>
      <c r="G18" s="14">
        <f>F18*VLOOKUP(D18,$B$7:$G$8,6,FALSE)</f>
        <v>124442.26199999999</v>
      </c>
      <c r="H18" s="14">
        <f>G18*453.6/1000</f>
        <v>56447.010043199996</v>
      </c>
      <c r="I18" s="20"/>
    </row>
    <row r="19" spans="1:9" ht="12.75">
      <c r="A19" s="41"/>
      <c r="B19" s="42"/>
      <c r="C19" s="42"/>
      <c r="D19" s="42"/>
      <c r="E19" s="43"/>
      <c r="F19" s="17"/>
      <c r="G19" s="17"/>
      <c r="H19" s="17"/>
      <c r="I19" s="20"/>
    </row>
    <row r="20" spans="1:9" ht="12.75">
      <c r="A20" s="65" t="s">
        <v>94</v>
      </c>
      <c r="B20" s="65"/>
      <c r="C20" s="65"/>
      <c r="D20" s="65"/>
      <c r="E20" s="65"/>
      <c r="F20" s="65"/>
      <c r="G20" s="65"/>
      <c r="H20" s="65"/>
      <c r="I20" s="20"/>
    </row>
    <row r="21" spans="1:9" ht="12.75">
      <c r="A21" s="63" t="s">
        <v>97</v>
      </c>
      <c r="B21" s="63"/>
      <c r="C21" s="63"/>
      <c r="D21" s="63"/>
      <c r="E21" s="63"/>
      <c r="F21" s="63"/>
      <c r="G21" s="63"/>
      <c r="H21" s="63"/>
      <c r="I21" s="20"/>
    </row>
    <row r="22" spans="1:11" ht="26.25">
      <c r="A22" s="9" t="s">
        <v>15</v>
      </c>
      <c r="B22" s="9" t="s">
        <v>21</v>
      </c>
      <c r="C22" s="11" t="s">
        <v>17</v>
      </c>
      <c r="D22" s="11" t="s">
        <v>31</v>
      </c>
      <c r="E22" s="11" t="s">
        <v>33</v>
      </c>
      <c r="F22" s="11" t="s">
        <v>22</v>
      </c>
      <c r="G22" s="11" t="s">
        <v>23</v>
      </c>
      <c r="H22" s="11" t="s">
        <v>3</v>
      </c>
      <c r="I22" s="20"/>
      <c r="J22" s="10"/>
      <c r="K22" s="10"/>
    </row>
    <row r="23" spans="1:11" ht="12.75">
      <c r="A23" s="44">
        <v>3</v>
      </c>
      <c r="B23" s="45" t="str">
        <f>VLOOKUP($A23,$A$16:$H$18,2,FALSE)</f>
        <v>New Vacuum Tower</v>
      </c>
      <c r="C23" s="14">
        <f>D23/42</f>
        <v>436.29999999999995</v>
      </c>
      <c r="D23" s="46">
        <f>VLOOKUP($A23,$A$16:$H$18,6,FALSE)</f>
        <v>18324.6</v>
      </c>
      <c r="E23" s="46">
        <f>D23/7.48</f>
        <v>2449.8128342245986</v>
      </c>
      <c r="F23" s="14">
        <v>10000</v>
      </c>
      <c r="G23" s="47">
        <f>1/(12*2.54)</f>
        <v>0.03280839895013123</v>
      </c>
      <c r="H23" s="48">
        <f>F23*0.3048^2</f>
        <v>929.0304000000001</v>
      </c>
      <c r="I23" s="20"/>
      <c r="J23" s="6"/>
      <c r="K23" s="6"/>
    </row>
    <row r="24" spans="1:11" ht="12.75">
      <c r="A24" s="44">
        <v>4</v>
      </c>
      <c r="B24" s="45" t="str">
        <f>VLOOKUP($A24,$A$16:$H$18,2,FALSE)</f>
        <v>Old Vacuum Tower</v>
      </c>
      <c r="C24" s="14">
        <f>D24/42</f>
        <v>417.9</v>
      </c>
      <c r="D24" s="46">
        <f>VLOOKUP($A24,$A$16:$H$18,6,FALSE)</f>
        <v>17551.8</v>
      </c>
      <c r="E24" s="46">
        <f>D24/7.48</f>
        <v>2346.497326203208</v>
      </c>
      <c r="F24" s="14">
        <f>F23*1.05</f>
        <v>10500</v>
      </c>
      <c r="G24" s="47">
        <f>1/(12*2.54)</f>
        <v>0.03280839895013123</v>
      </c>
      <c r="H24" s="48">
        <f>F24*0.3048^2</f>
        <v>975.4819200000001</v>
      </c>
      <c r="I24" s="20"/>
      <c r="J24" s="6"/>
      <c r="K24" s="6"/>
    </row>
    <row r="25" spans="1:11" ht="12.75">
      <c r="A25" s="49"/>
      <c r="B25" s="4"/>
      <c r="C25" s="50"/>
      <c r="D25" s="4"/>
      <c r="E25" s="20"/>
      <c r="F25" s="5"/>
      <c r="G25" s="20"/>
      <c r="H25" s="50"/>
      <c r="I25" s="20"/>
      <c r="J25" s="2"/>
      <c r="K25"/>
    </row>
    <row r="26" spans="1:11" ht="12.75">
      <c r="A26" s="15" t="s">
        <v>15</v>
      </c>
      <c r="B26" s="9" t="s">
        <v>0</v>
      </c>
      <c r="C26" s="9" t="s">
        <v>11</v>
      </c>
      <c r="D26" s="9" t="s">
        <v>12</v>
      </c>
      <c r="E26" s="9" t="s">
        <v>13</v>
      </c>
      <c r="F26" s="13" t="s">
        <v>7</v>
      </c>
      <c r="G26" s="9" t="s">
        <v>8</v>
      </c>
      <c r="H26" s="9" t="s">
        <v>6</v>
      </c>
      <c r="I26" s="20"/>
      <c r="K26"/>
    </row>
    <row r="27" spans="1:8" s="7" customFormat="1" ht="12.75">
      <c r="A27" s="23">
        <v>3</v>
      </c>
      <c r="B27" s="46" t="str">
        <f>VLOOKUP($A27,$A$16:$H$18,4,FALSE)</f>
        <v>Diesel Liquid</v>
      </c>
      <c r="C27" s="51">
        <f>VLOOKUP($B27,$B$7:$F$8,2,FALSE)</f>
        <v>48100000</v>
      </c>
      <c r="D27" s="51">
        <f>VLOOKUP($B27,$B$7:$F$8,3,FALSE)</f>
        <v>275218</v>
      </c>
      <c r="E27" s="51">
        <f>VLOOKUP($B27,$B$7:$F$8,4,FALSE)</f>
        <v>2183</v>
      </c>
      <c r="F27" s="51">
        <f>VLOOKUP($B27,$B$7:$F$8,5,FALSE)</f>
        <v>447</v>
      </c>
      <c r="G27" s="44">
        <v>298</v>
      </c>
      <c r="H27" s="48">
        <f>VLOOKUP(A27,$A$23:$I$25,8,FALSE)</f>
        <v>929.0304000000001</v>
      </c>
    </row>
    <row r="28" spans="1:11" ht="12.75">
      <c r="A28" s="23">
        <v>4</v>
      </c>
      <c r="B28" s="46" t="str">
        <f>VLOOKUP($A28,$A$16:$H$18,4,FALSE)</f>
        <v>Diesel Liquid</v>
      </c>
      <c r="C28" s="51">
        <f>VLOOKUP($B28,$B$7:$F$8,2,FALSE)</f>
        <v>48100000</v>
      </c>
      <c r="D28" s="51">
        <f>VLOOKUP($B28,$B$7:$F$8,3,FALSE)</f>
        <v>275218</v>
      </c>
      <c r="E28" s="51">
        <f>VLOOKUP($B28,$B$7:$F$8,4,FALSE)</f>
        <v>2183</v>
      </c>
      <c r="F28" s="51">
        <f>VLOOKUP($B28,$B$7:$F$8,5,FALSE)</f>
        <v>447</v>
      </c>
      <c r="G28" s="44">
        <v>298</v>
      </c>
      <c r="H28" s="48">
        <f>VLOOKUP(A28,$A$23:$I$25,8,FALSE)</f>
        <v>975.4819200000001</v>
      </c>
      <c r="I28" s="20"/>
      <c r="K28" s="3"/>
    </row>
    <row r="29" spans="1:9" ht="12.75">
      <c r="A29" s="16"/>
      <c r="B29" s="1"/>
      <c r="C29" s="1"/>
      <c r="D29" s="1"/>
      <c r="E29" s="20"/>
      <c r="F29" s="20"/>
      <c r="G29" s="50"/>
      <c r="H29" s="22"/>
      <c r="I29" s="20"/>
    </row>
    <row r="30" spans="1:9" ht="12.75">
      <c r="A30" s="16"/>
      <c r="B30" s="1"/>
      <c r="C30" s="1"/>
      <c r="D30" s="1"/>
      <c r="E30" s="20"/>
      <c r="F30" s="20"/>
      <c r="G30" s="50"/>
      <c r="H30" s="22"/>
      <c r="I30" s="20"/>
    </row>
    <row r="31" spans="1:9" ht="12.75">
      <c r="A31" s="64" t="s">
        <v>95</v>
      </c>
      <c r="B31" s="64"/>
      <c r="C31" s="64"/>
      <c r="D31" s="64"/>
      <c r="E31" s="64"/>
      <c r="F31" s="64"/>
      <c r="G31" s="50"/>
      <c r="H31" s="22"/>
      <c r="I31" s="20"/>
    </row>
    <row r="32" spans="1:9" ht="12.75">
      <c r="A32" s="62" t="s">
        <v>96</v>
      </c>
      <c r="B32" s="62"/>
      <c r="C32" s="62"/>
      <c r="D32" s="62"/>
      <c r="E32" s="62"/>
      <c r="F32" s="62"/>
      <c r="G32" s="50"/>
      <c r="H32" s="22"/>
      <c r="I32" s="20"/>
    </row>
    <row r="33" spans="1:9" ht="12.75">
      <c r="A33" s="15" t="s">
        <v>15</v>
      </c>
      <c r="B33" s="9" t="s">
        <v>21</v>
      </c>
      <c r="C33" s="9" t="s">
        <v>32</v>
      </c>
      <c r="D33" s="9" t="s">
        <v>0</v>
      </c>
      <c r="E33" s="13" t="s">
        <v>5</v>
      </c>
      <c r="F33" s="20"/>
      <c r="G33" s="50"/>
      <c r="H33" s="22"/>
      <c r="I33" s="20"/>
    </row>
    <row r="34" spans="1:9" ht="12.75">
      <c r="A34" s="23">
        <v>3</v>
      </c>
      <c r="B34" s="45" t="str">
        <f>VLOOKUP($A34,$A$16:$H$18,2,FALSE)</f>
        <v>New Vacuum Tower</v>
      </c>
      <c r="C34" s="46">
        <f>VLOOKUP($A34,$A$16:$H$18,5,FALSE)</f>
        <v>436.29999999999995</v>
      </c>
      <c r="D34" s="46" t="str">
        <f>VLOOKUP($A34,$A$16:$H$18,4,FALSE)</f>
        <v>Diesel Liquid</v>
      </c>
      <c r="E34" s="48">
        <f>ROUND(C27*SQRT(0.0001*H27/(5000*PI()*(D27+E27*(F27-G27)))),-1)</f>
        <v>150</v>
      </c>
      <c r="F34" s="20"/>
      <c r="G34" s="50"/>
      <c r="H34" s="22"/>
      <c r="I34" s="20"/>
    </row>
    <row r="35" spans="1:9" ht="12.75">
      <c r="A35" s="23">
        <v>4</v>
      </c>
      <c r="B35" s="45" t="str">
        <f>VLOOKUP($A35,$A$16:$H$18,2,FALSE)</f>
        <v>Old Vacuum Tower</v>
      </c>
      <c r="C35" s="46">
        <f>VLOOKUP($A35,$A$16:$H$18,5,FALSE)</f>
        <v>417.9</v>
      </c>
      <c r="D35" s="46" t="str">
        <f>VLOOKUP($A35,$A$16:$H$18,4,FALSE)</f>
        <v>Diesel Liquid</v>
      </c>
      <c r="E35" s="48">
        <f>ROUND(C28*SQRT(0.0001*H28/(5000*PI()*(D28+E28*(F28-G28)))),-1)</f>
        <v>150</v>
      </c>
      <c r="F35" s="20"/>
      <c r="G35" s="50"/>
      <c r="H35" s="22"/>
      <c r="I35" s="20"/>
    </row>
    <row r="36" spans="1:9" ht="12.75">
      <c r="A36" s="16" t="s">
        <v>82</v>
      </c>
      <c r="B36" s="1"/>
      <c r="C36" s="1"/>
      <c r="D36" s="1"/>
      <c r="E36" s="20"/>
      <c r="F36" s="20"/>
      <c r="G36" s="50"/>
      <c r="H36" s="22"/>
      <c r="I36" s="20"/>
    </row>
    <row r="37" spans="1:9" ht="12.75">
      <c r="A37" s="20"/>
      <c r="B37" s="1"/>
      <c r="C37" s="1"/>
      <c r="D37" s="1"/>
      <c r="E37" s="20"/>
      <c r="F37" s="20"/>
      <c r="G37" s="50"/>
      <c r="H37" s="22"/>
      <c r="I37" s="20"/>
    </row>
    <row r="38" spans="1:9" ht="12.75">
      <c r="A38" s="18" t="s">
        <v>50</v>
      </c>
      <c r="B38" s="19" t="s">
        <v>69</v>
      </c>
      <c r="C38" s="1"/>
      <c r="D38" s="1"/>
      <c r="E38" s="20"/>
      <c r="F38" s="20"/>
      <c r="G38" s="50"/>
      <c r="H38" s="22"/>
      <c r="I38" s="20"/>
    </row>
    <row r="39" spans="1:9" ht="12.75">
      <c r="A39" s="49" t="s">
        <v>47</v>
      </c>
      <c r="B39" s="20" t="s">
        <v>49</v>
      </c>
      <c r="C39" s="7" t="s">
        <v>48</v>
      </c>
      <c r="D39" s="1"/>
      <c r="E39" s="20"/>
      <c r="F39" s="20"/>
      <c r="G39" s="50"/>
      <c r="H39" s="22"/>
      <c r="I39" s="20"/>
    </row>
    <row r="40" spans="1:9" ht="12.75">
      <c r="A40" s="49" t="s">
        <v>51</v>
      </c>
      <c r="B40" s="20" t="s">
        <v>52</v>
      </c>
      <c r="C40" s="7" t="s">
        <v>53</v>
      </c>
      <c r="D40" s="1"/>
      <c r="E40" s="20"/>
      <c r="F40" s="20"/>
      <c r="G40" s="50"/>
      <c r="H40" s="22"/>
      <c r="I40" s="20"/>
    </row>
    <row r="41" spans="1:9" ht="12.75">
      <c r="A41" s="49" t="s">
        <v>54</v>
      </c>
      <c r="B41" s="20" t="s">
        <v>55</v>
      </c>
      <c r="C41" s="7" t="s">
        <v>64</v>
      </c>
      <c r="D41" s="1"/>
      <c r="E41" s="20"/>
      <c r="F41" s="20"/>
      <c r="G41" s="50"/>
      <c r="H41" s="22"/>
      <c r="I41" s="20"/>
    </row>
    <row r="42" spans="1:9" ht="12.75">
      <c r="A42" s="49" t="s">
        <v>56</v>
      </c>
      <c r="B42" s="20" t="s">
        <v>52</v>
      </c>
      <c r="C42" s="7" t="s">
        <v>57</v>
      </c>
      <c r="D42" s="1"/>
      <c r="E42" s="20"/>
      <c r="F42" s="20"/>
      <c r="G42" s="50"/>
      <c r="H42" s="22"/>
      <c r="I42" s="20"/>
    </row>
    <row r="43" spans="1:9" ht="12.75">
      <c r="A43" s="49" t="s">
        <v>58</v>
      </c>
      <c r="B43" s="20" t="s">
        <v>59</v>
      </c>
      <c r="C43" s="7" t="s">
        <v>60</v>
      </c>
      <c r="D43" s="1"/>
      <c r="E43" s="20"/>
      <c r="F43" s="20"/>
      <c r="G43" s="50"/>
      <c r="H43" s="22"/>
      <c r="I43" s="20"/>
    </row>
    <row r="44" spans="1:9" ht="12.75">
      <c r="A44" s="49" t="s">
        <v>61</v>
      </c>
      <c r="B44" s="20" t="s">
        <v>62</v>
      </c>
      <c r="C44" s="7" t="s">
        <v>63</v>
      </c>
      <c r="D44" s="1"/>
      <c r="E44" s="20"/>
      <c r="F44" s="20"/>
      <c r="G44" s="50"/>
      <c r="H44" s="22"/>
      <c r="I44" s="20"/>
    </row>
    <row r="45" spans="1:9" ht="12.75">
      <c r="A45" s="49" t="s">
        <v>65</v>
      </c>
      <c r="B45" s="20" t="s">
        <v>62</v>
      </c>
      <c r="C45" s="7" t="s">
        <v>66</v>
      </c>
      <c r="D45" s="1"/>
      <c r="E45" s="20"/>
      <c r="F45" s="20"/>
      <c r="G45" s="50"/>
      <c r="H45" s="22"/>
      <c r="I45" s="20"/>
    </row>
    <row r="46" spans="1:9" ht="12.75">
      <c r="A46" s="49">
        <v>0.0001</v>
      </c>
      <c r="B46" s="20" t="s">
        <v>67</v>
      </c>
      <c r="C46" s="7" t="s">
        <v>68</v>
      </c>
      <c r="D46" s="1"/>
      <c r="E46" s="20"/>
      <c r="F46" s="20"/>
      <c r="G46" s="50"/>
      <c r="H46" s="22"/>
      <c r="I46" s="20"/>
    </row>
    <row r="47" spans="1:7" ht="12.75">
      <c r="A47" s="3"/>
      <c r="C47" s="7"/>
      <c r="D47" s="1"/>
      <c r="G47" s="6"/>
    </row>
    <row r="49" spans="1:7" ht="12.75">
      <c r="A49" s="1"/>
      <c r="B49" s="1"/>
      <c r="C49" s="1"/>
      <c r="D49" s="2"/>
      <c r="E49" s="2"/>
      <c r="F49" s="2"/>
      <c r="G49" s="2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G57" s="2"/>
    </row>
    <row r="58" ht="12.75">
      <c r="G58" s="2"/>
    </row>
    <row r="59" ht="12.75">
      <c r="G59" s="2"/>
    </row>
  </sheetData>
  <sheetProtection/>
  <mergeCells count="10">
    <mergeCell ref="A31:F31"/>
    <mergeCell ref="A32:F32"/>
    <mergeCell ref="A21:H21"/>
    <mergeCell ref="A20:H20"/>
    <mergeCell ref="A1:H1"/>
    <mergeCell ref="A2:H2"/>
    <mergeCell ref="A5:H5"/>
    <mergeCell ref="A4:H4"/>
    <mergeCell ref="A15:H15"/>
    <mergeCell ref="A14:H14"/>
  </mergeCells>
  <hyperlinks>
    <hyperlink ref="C12" location="'Mobil Hazards'!A1" display="http://www.chevron.com/prodserv/fuels/bulletin/diesel/L2_4_6rf.htm"/>
  </hyperlink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Footer>&amp;CC-&amp;P&amp;RMay 2005 Mitigated Negative Declaration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jbm</dc:creator>
  <cp:keywords/>
  <dc:description/>
  <cp:lastModifiedBy>dsasaki</cp:lastModifiedBy>
  <cp:lastPrinted>2005-05-24T00:37:28Z</cp:lastPrinted>
  <dcterms:created xsi:type="dcterms:W3CDTF">2000-06-12T17:03:34Z</dcterms:created>
  <dcterms:modified xsi:type="dcterms:W3CDTF">2014-08-06T19:21:53Z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