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acmillan\Desktop\Mobile\Inventory\WG#4\"/>
    </mc:Choice>
  </mc:AlternateContent>
  <bookViews>
    <workbookView xWindow="0" yWindow="465" windowWidth="51195" windowHeight="26760" firstSheet="1" activeTab="3"/>
  </bookViews>
  <sheets>
    <sheet name="Locomotives" sheetId="6" r:id="rId1"/>
    <sheet name="CargoHandlingEqt" sheetId="8" r:id="rId2"/>
    <sheet name="HeavyDutyDieselTrucks" sheetId="1" r:id="rId3"/>
    <sheet name="TRU" sheetId="7" r:id="rId4"/>
    <sheet name="SumRailyardEmissions" sheetId="9" r:id="rId5"/>
    <sheet name="2023 Stacked" sheetId="10" r:id="rId6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7" l="1"/>
  <c r="C30" i="7"/>
  <c r="D19" i="7"/>
  <c r="D18" i="7"/>
  <c r="D17" i="7"/>
  <c r="D15" i="7"/>
  <c r="J5" i="7"/>
  <c r="A19" i="1"/>
  <c r="A15" i="1"/>
  <c r="D27" i="7" l="1"/>
  <c r="C25" i="7" s="1"/>
  <c r="C21" i="7"/>
  <c r="C23" i="7"/>
  <c r="C24" i="7"/>
  <c r="C22" i="7"/>
  <c r="B2" i="9"/>
  <c r="B3" i="9"/>
  <c r="C27" i="7" l="1"/>
  <c r="B27" i="7"/>
  <c r="F19" i="1"/>
  <c r="J7" i="6" l="1"/>
  <c r="J11" i="7"/>
  <c r="B5" i="9" s="1"/>
  <c r="F15" i="1"/>
  <c r="C19" i="1"/>
  <c r="E19" i="1" s="1"/>
  <c r="C15" i="1"/>
  <c r="E15" i="1" s="1"/>
  <c r="G15" i="1" l="1"/>
  <c r="H15" i="1" s="1"/>
  <c r="G19" i="1"/>
  <c r="H19" i="1" s="1"/>
  <c r="H20" i="1" l="1"/>
  <c r="B4" i="9" s="1"/>
  <c r="B6" i="9" l="1"/>
  <c r="C4" i="9" s="1"/>
  <c r="C5" i="9" l="1"/>
  <c r="C2" i="9"/>
  <c r="C3" i="9"/>
</calcChain>
</file>

<file path=xl/sharedStrings.xml><?xml version="1.0" encoding="utf-8"?>
<sst xmlns="http://schemas.openxmlformats.org/spreadsheetml/2006/main" count="273" uniqueCount="130">
  <si>
    <t>EMFAC2014 (v1.0.7) Emission Rates</t>
  </si>
  <si>
    <t>Region Type: Air District</t>
  </si>
  <si>
    <t>Region: South Coast AQMD</t>
  </si>
  <si>
    <t>Calendar Year: 2023</t>
  </si>
  <si>
    <t>Season: Annual</t>
  </si>
  <si>
    <t>Vehicle Classification: EMFAC2011 Categories</t>
  </si>
  <si>
    <t>Units: miles/day for VMT, trips/day for Trips, g/mile for RUNEX, PMBW and PMTW, g/trip for STREX, HTSK and RUNLS, g/vehicle/day for IDLEX, RESTL and DIURN</t>
  </si>
  <si>
    <t>Region</t>
  </si>
  <si>
    <t>CalYr</t>
  </si>
  <si>
    <t>VehClass</t>
  </si>
  <si>
    <t>MdlYr</t>
  </si>
  <si>
    <t>Speed</t>
  </si>
  <si>
    <t>Fuel</t>
  </si>
  <si>
    <t>Population</t>
  </si>
  <si>
    <t>VMT</t>
  </si>
  <si>
    <t>Trips</t>
  </si>
  <si>
    <t>NOx_RUNEX</t>
  </si>
  <si>
    <t>NOx_IDLEX</t>
  </si>
  <si>
    <t>NOx_STREX</t>
  </si>
  <si>
    <t>South Coast AQMD</t>
  </si>
  <si>
    <t>T7 POLA</t>
  </si>
  <si>
    <t>Aggregated</t>
  </si>
  <si>
    <t>DSL</t>
  </si>
  <si>
    <t>Running Exhaust Emissions</t>
  </si>
  <si>
    <t>Number of Trips</t>
  </si>
  <si>
    <t>VMT per Year</t>
  </si>
  <si>
    <r>
      <t>Emission Factor (g/mi)</t>
    </r>
    <r>
      <rPr>
        <vertAlign val="superscript"/>
        <sz val="11"/>
        <color theme="1"/>
        <rFont val="Calibri"/>
        <family val="2"/>
        <scheme val="minor"/>
      </rPr>
      <t>4</t>
    </r>
  </si>
  <si>
    <t>Emissions (t/yr)</t>
  </si>
  <si>
    <t>Emissions (t/day)</t>
  </si>
  <si>
    <t>Idling Exhaust Emissions</t>
  </si>
  <si>
    <t>TEU/lift Factor</t>
  </si>
  <si>
    <t>Number of Truck Trips</t>
  </si>
  <si>
    <r>
      <t>Min. per Trip</t>
    </r>
    <r>
      <rPr>
        <vertAlign val="superscript"/>
        <sz val="11"/>
        <color theme="1"/>
        <rFont val="Calibri"/>
        <family val="2"/>
        <scheme val="minor"/>
      </rPr>
      <t>3</t>
    </r>
  </si>
  <si>
    <t>Hours per Year</t>
  </si>
  <si>
    <r>
      <t>Emission Factor (g/hr)</t>
    </r>
    <r>
      <rPr>
        <vertAlign val="superscript"/>
        <sz val="11"/>
        <color theme="1"/>
        <rFont val="Calibri"/>
        <family val="2"/>
        <scheme val="minor"/>
      </rPr>
      <t>5</t>
    </r>
  </si>
  <si>
    <t>EMFAC 2014, Running Emission Rate, 2023 Fleet Average T7 POLA Truck</t>
  </si>
  <si>
    <t>2023 Railyard Heavy Duty Truck NOX Emissions Summary (Lifts)</t>
  </si>
  <si>
    <t>Knox Business Park AQ Analysis / SCAG Regional Transportation Model (2008) validation</t>
  </si>
  <si>
    <t>UP Commerce, Health Risk Assessment, Emission Inventory, Appendix H, Sierra Research 2007</t>
  </si>
  <si>
    <r>
      <t>VMT per Trip</t>
    </r>
    <r>
      <rPr>
        <vertAlign val="superscript"/>
        <sz val="11"/>
        <color theme="1"/>
        <rFont val="Calibri"/>
        <family val="2"/>
        <scheme val="minor"/>
      </rPr>
      <t>6</t>
    </r>
  </si>
  <si>
    <t>Total</t>
  </si>
  <si>
    <t>820-TRAINS</t>
  </si>
  <si>
    <t xml:space="preserve"> 820-826-1210-0000</t>
  </si>
  <si>
    <t>SOUTH COAST</t>
  </si>
  <si>
    <t xml:space="preserve"> 820-824-1210-0000</t>
  </si>
  <si>
    <t xml:space="preserve"> 820-822-1210-0000</t>
  </si>
  <si>
    <t xml:space="preserve"> 820-820-1210-0000</t>
  </si>
  <si>
    <t>GROWN AND CONTROLLED</t>
  </si>
  <si>
    <t>ANNUAL AVERAGE</t>
  </si>
  <si>
    <t>NOX</t>
  </si>
  <si>
    <t>0000-SUB-CATEGORY UNSPECIFIED</t>
  </si>
  <si>
    <t>1210-DIESEL (UNSPECIFIED)</t>
  </si>
  <si>
    <t>826-PASSENGER TRAINS</t>
  </si>
  <si>
    <t>824-METROLINK</t>
  </si>
  <si>
    <t>822-LOCOMOTIVES - SWITCHING</t>
  </si>
  <si>
    <t>820-LOCOMOTIVES - ROAD HAULING</t>
  </si>
  <si>
    <t>CONTROL_TYPE</t>
  </si>
  <si>
    <t>SEASON</t>
  </si>
  <si>
    <t>POLLUTANT</t>
  </si>
  <si>
    <t>EICSUB</t>
  </si>
  <si>
    <t>EICMAT</t>
  </si>
  <si>
    <t>EICSOU</t>
  </si>
  <si>
    <t>EICSUM</t>
  </si>
  <si>
    <t>EIC</t>
  </si>
  <si>
    <t>AREA</t>
  </si>
  <si>
    <t>SOUTH COAST (Excluded Category)</t>
  </si>
  <si>
    <r>
      <t>2023 Locomotive Emissions, CEPAM: 2016 SIP - Standard Emission Tool</t>
    </r>
    <r>
      <rPr>
        <vertAlign val="superscript"/>
        <sz val="11"/>
        <color theme="1"/>
        <rFont val="Calibri"/>
        <family val="2"/>
        <scheme val="minor"/>
      </rPr>
      <t>1</t>
    </r>
  </si>
  <si>
    <t>Ratio</t>
  </si>
  <si>
    <t>BNSF Watson</t>
  </si>
  <si>
    <t>BNSF Sheila</t>
  </si>
  <si>
    <t>BNSF Commerce Eastern</t>
  </si>
  <si>
    <t>Railyard</t>
  </si>
  <si>
    <t>UP Mira loma</t>
  </si>
  <si>
    <t>UP LATC</t>
  </si>
  <si>
    <t>UP City of Industry</t>
  </si>
  <si>
    <t>UP Commerce</t>
  </si>
  <si>
    <t>UP Colton</t>
  </si>
  <si>
    <t>BNSF San Bernardino</t>
  </si>
  <si>
    <t>UP ICTF/Dolares</t>
  </si>
  <si>
    <t>BNSF Hobart</t>
  </si>
  <si>
    <t>9970-Yard Tractor (Railyard) CHE-D-9999-Exhaust</t>
  </si>
  <si>
    <t>897-RAIL OPERATIONS</t>
  </si>
  <si>
    <t>860-OFF-ROAD EQUIPMENT</t>
  </si>
  <si>
    <t xml:space="preserve"> 860-897-1210-9970</t>
  </si>
  <si>
    <t>5330-Other CHE (Railyard) CHE-D-9999-Exhaust</t>
  </si>
  <si>
    <t xml:space="preserve"> 860-897-1210-5330</t>
  </si>
  <si>
    <t>4490-Material Handling Equip (Railyard) CHE-D-9999-Exhaust</t>
  </si>
  <si>
    <t xml:space="preserve"> 860-897-1210-4490</t>
  </si>
  <si>
    <t>3410-Generator (Railyard)-D-9999-Exhaust</t>
  </si>
  <si>
    <t xml:space="preserve"> 860-897-1210-3410</t>
  </si>
  <si>
    <t>3400-Generator (Railyard)-D-175-Exhaust</t>
  </si>
  <si>
    <t xml:space="preserve"> 860-897-1210-3400</t>
  </si>
  <si>
    <t>2840-Forklift (Railyard) CHE-D-750-Exhaust</t>
  </si>
  <si>
    <t xml:space="preserve"> 860-897-1210-2840</t>
  </si>
  <si>
    <t>1980-Crane (Railyard) CHE-D-9999-Exhaust</t>
  </si>
  <si>
    <t xml:space="preserve"> 860-897-1210-1980</t>
  </si>
  <si>
    <t>1590-Compressor (Railyard)-D-120-Exhaust</t>
  </si>
  <si>
    <t xml:space="preserve"> 860-897-1210-1590</t>
  </si>
  <si>
    <t>9410-Transport Refrigeration Units-D-50-Exhaust</t>
  </si>
  <si>
    <t>884-TRANSPORT REFRIGERATION UNITS</t>
  </si>
  <si>
    <t xml:space="preserve"> 860-884-1210-9410</t>
  </si>
  <si>
    <t>9400-Transport Refrigeration Units-D-25-Exhaust</t>
  </si>
  <si>
    <t xml:space="preserve"> 860-884-1210-9400</t>
  </si>
  <si>
    <t>Railyard Cargo Handling Eqt.</t>
  </si>
  <si>
    <t xml:space="preserve">2023 Basin-wide TRU NOx Emissions </t>
  </si>
  <si>
    <t>Total (tons/year)</t>
  </si>
  <si>
    <t xml:space="preserve">Vehicle Type </t>
  </si>
  <si>
    <t>Locomotives</t>
  </si>
  <si>
    <t>Trucks</t>
  </si>
  <si>
    <t>Transportation Refrigeration Units (TRUs)</t>
  </si>
  <si>
    <t>Cargo Handling Equipment (CHE)</t>
  </si>
  <si>
    <r>
      <t>Drayage Truck Trips per Lift</t>
    </r>
    <r>
      <rPr>
        <vertAlign val="superscript"/>
        <sz val="11"/>
        <color theme="1"/>
        <rFont val="Calibri"/>
        <family val="2"/>
        <scheme val="minor"/>
      </rPr>
      <t>2</t>
    </r>
  </si>
  <si>
    <t>EMFAC 2014, Volume III Technical Documentation, Average of 2012+ HHD Truck Emission Rates from Tables 3.2-40, 3.2-41, and 3.2-42</t>
  </si>
  <si>
    <t>PM (tons/yr)</t>
  </si>
  <si>
    <t xml:space="preserve">Total 2023 NOx </t>
  </si>
  <si>
    <t>2023 Railyard NOx Emissions (tons/day) assuming 2005 PM railyard/basin ratio applies to NOx railyard/basin ratio in 2023</t>
  </si>
  <si>
    <t xml:space="preserve">2023 NOx Emisions </t>
  </si>
  <si>
    <t xml:space="preserve">2005 Basin-wide TRU PM Emissions </t>
  </si>
  <si>
    <r>
      <t>2023 
Off-Dock Railyard Lifts</t>
    </r>
    <r>
      <rPr>
        <vertAlign val="superscript"/>
        <sz val="11"/>
        <color theme="1"/>
        <rFont val="Calibri"/>
        <family val="2"/>
        <scheme val="minor"/>
      </rPr>
      <t>1</t>
    </r>
  </si>
  <si>
    <t>2023 
Off-Dock Railyard Lifts</t>
  </si>
  <si>
    <t>Average miles per HHDT trip in 2016 RTP</t>
  </si>
  <si>
    <t>NOx (ton/yr)</t>
  </si>
  <si>
    <t>Ratio of NOx/DPM</t>
  </si>
  <si>
    <t>None Reported</t>
  </si>
  <si>
    <t>2005 Ratio of Railyard TRU NOx Emissions to Total Basin-wide TRU NOx Emissions</t>
  </si>
  <si>
    <t>SCIG EIR, Section 3.10 Transportation/Circulation, September 2011</t>
  </si>
  <si>
    <t>SCIG EIR, Appendix G4 Scenario #5 - 2023 Total Lifts, September 2011</t>
  </si>
  <si>
    <t>1 https://www.arb.ca.gov/app/emsinv/fcemssumcat/fcemssumcat2016.php</t>
  </si>
  <si>
    <t>Basin Railyard TRU PM Emissions - 2005 Railyard HRAs*</t>
  </si>
  <si>
    <t>* https://www.arb.ca.gov/railyard/hra/hra.htm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</si>
</sst>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#,##0.000"/>
    <numFmt numFmtId="167" formatCode="#,##0.0_);\(#,##0.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0" fillId="0" borderId="10" xfId="0" applyBorder="1" applyAlignment="1">
      <alignment horizontal="center" wrapText="1"/>
    </xf>
    <xf numFmtId="0" fontId="0" fillId="33" borderId="0" xfId="0" applyFill="1"/>
    <xf numFmtId="0" fontId="19" fillId="0" borderId="0" xfId="0" applyFont="1"/>
    <xf numFmtId="0" fontId="0" fillId="0" borderId="0" xfId="0" applyAlignment="1"/>
    <xf numFmtId="0" fontId="16" fillId="34" borderId="0" xfId="0" applyFont="1" applyFill="1"/>
    <xf numFmtId="0" fontId="0" fillId="34" borderId="0" xfId="0" applyFill="1"/>
    <xf numFmtId="0" fontId="0" fillId="35" borderId="0" xfId="0" applyFill="1"/>
    <xf numFmtId="0" fontId="16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0" fillId="36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10" xfId="42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7" fontId="0" fillId="35" borderId="0" xfId="0" applyNumberFormat="1" applyFill="1"/>
    <xf numFmtId="0" fontId="18" fillId="0" borderId="0" xfId="0" applyFont="1" applyAlignment="1">
      <alignment horizontal="left"/>
    </xf>
    <xf numFmtId="164" fontId="0" fillId="0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0" fontId="16" fillId="0" borderId="0" xfId="0" applyFont="1"/>
    <xf numFmtId="1" fontId="16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36" borderId="0" xfId="0" applyFill="1" applyAlignment="1">
      <alignment horizontal="center"/>
    </xf>
    <xf numFmtId="2" fontId="0" fillId="36" borderId="0" xfId="0" applyNumberFormat="1" applyFill="1" applyAlignment="1">
      <alignment horizontal="center"/>
    </xf>
    <xf numFmtId="164" fontId="0" fillId="37" borderId="0" xfId="0" applyNumberFormat="1" applyFill="1" applyAlignment="1">
      <alignment horizontal="center"/>
    </xf>
    <xf numFmtId="164" fontId="0" fillId="36" borderId="0" xfId="0" applyNumberFormat="1" applyFill="1" applyAlignment="1">
      <alignment horizontal="center"/>
    </xf>
    <xf numFmtId="164" fontId="0" fillId="36" borderId="0" xfId="0" applyNumberFormat="1" applyFill="1"/>
    <xf numFmtId="2" fontId="0" fillId="0" borderId="0" xfId="0" applyNumberFormat="1" applyFill="1" applyAlignment="1">
      <alignment horizontal="center"/>
    </xf>
    <xf numFmtId="0" fontId="16" fillId="36" borderId="0" xfId="0" applyFont="1" applyFill="1"/>
    <xf numFmtId="2" fontId="16" fillId="36" borderId="0" xfId="0" applyNumberFormat="1" applyFont="1" applyFill="1" applyAlignment="1">
      <alignment horizontal="center"/>
    </xf>
    <xf numFmtId="0" fontId="20" fillId="0" borderId="0" xfId="43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Estimated 2023 NOx Emissions Associated with Rail Yards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SumRailyardEmissions!$A$2</c:f>
              <c:strCache>
                <c:ptCount val="1"/>
                <c:pt idx="0">
                  <c:v>Locomotives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991386722067002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1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AA48E04-7F72-4413-B96A-647331242311}" type="CELLRANGE">
                      <a:rPr lang="en-US"/>
                      <a:pPr>
                        <a:defRPr sz="1100" b="1" i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1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SumRailyardEmissions!$B$2</c:f>
              <c:numCache>
                <c:formatCode>0.0</c:formatCode>
                <c:ptCount val="1"/>
                <c:pt idx="0">
                  <c:v>14.2662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SumRailyardEmissions!$C$2</c15:f>
                <c15:dlblRangeCache>
                  <c:ptCount val="1"/>
                  <c:pt idx="0">
                    <c:v>83%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SumRailyardEmissions!$A$4</c:f>
              <c:strCache>
                <c:ptCount val="1"/>
                <c:pt idx="0">
                  <c:v>Trucks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9767441726400395"/>
                  <c:y val="-3.6970707056485268E-17"/>
                </c:manualLayout>
              </c:layout>
              <c:tx>
                <c:rich>
                  <a:bodyPr/>
                  <a:lstStyle/>
                  <a:p>
                    <a:fld id="{A1AD84F1-0A74-4773-ADB5-33FA1C15BE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1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SumRailyardEmissions!$B$4</c:f>
              <c:numCache>
                <c:formatCode>0.0</c:formatCode>
                <c:ptCount val="1"/>
                <c:pt idx="0">
                  <c:v>2.5600956367365102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SumRailyardEmissions!$C$4</c15:f>
                <c15:dlblRangeCache>
                  <c:ptCount val="1"/>
                  <c:pt idx="0">
                    <c:v>15%</c:v>
                  </c:pt>
                </c15:dlblRangeCache>
              </c15:datalabelsRange>
            </c:ext>
          </c:extLst>
        </c:ser>
        <c:ser>
          <c:idx val="0"/>
          <c:order val="2"/>
          <c:tx>
            <c:strRef>
              <c:f>SumRailyardEmissions!$A$3</c:f>
              <c:strCache>
                <c:ptCount val="1"/>
                <c:pt idx="0">
                  <c:v>Cargo Handling Equipment (CHE)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1963824140444882"/>
                  <c:y val="0"/>
                </c:manualLayout>
              </c:layout>
              <c:tx>
                <c:rich>
                  <a:bodyPr/>
                  <a:lstStyle/>
                  <a:p>
                    <a:fld id="{AF0E4781-D301-4A2A-98CF-6249CFAB8D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1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SumRailyardEmissions!$B$3</c:f>
              <c:numCache>
                <c:formatCode>0.0</c:formatCode>
                <c:ptCount val="1"/>
                <c:pt idx="0">
                  <c:v>0.25919999999999999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SumRailyardEmissions!$C$3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</c:extLst>
        </c:ser>
        <c:ser>
          <c:idx val="2"/>
          <c:order val="3"/>
          <c:tx>
            <c:strRef>
              <c:f>SumRailyardEmissions!$A$5</c:f>
              <c:strCache>
                <c:ptCount val="1"/>
                <c:pt idx="0">
                  <c:v>Transportation Refrigeration Units (TRUs)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9621016232130759"/>
                  <c:y val="0"/>
                </c:manualLayout>
              </c:layout>
              <c:tx>
                <c:rich>
                  <a:bodyPr/>
                  <a:lstStyle/>
                  <a:p>
                    <a:fld id="{0BD07C8E-0C1F-4B43-BC79-248556279B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1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SumRailyardEmissions!$B$5</c:f>
              <c:numCache>
                <c:formatCode>0.0</c:formatCode>
                <c:ptCount val="1"/>
                <c:pt idx="0">
                  <c:v>0.17065529893357675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SumRailyardEmissions!$C$5</c15:f>
                <c15:dlblRangeCache>
                  <c:ptCount val="1"/>
                  <c:pt idx="0">
                    <c:v>1%</c:v>
                  </c:pt>
                </c15:dlblRangeCache>
              </c15:datalabelsRang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26996232"/>
        <c:axId val="327000544"/>
      </c:barChart>
      <c:catAx>
        <c:axId val="326996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7000544"/>
        <c:crosses val="autoZero"/>
        <c:auto val="1"/>
        <c:lblAlgn val="ctr"/>
        <c:lblOffset val="100"/>
        <c:noMultiLvlLbl val="0"/>
      </c:catAx>
      <c:valAx>
        <c:axId val="327000544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Estimated 2023 NOx (ton/day)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996232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14113711271747"/>
          <c:y val="0.41517101623988162"/>
          <c:w val="0.21164525414796329"/>
          <c:h val="0.3065528940220455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0.43076</cdr:x>
      <cdr:y>0.14235</cdr:y>
    </cdr:from>
    <cdr:to>
      <cdr:x>0.64471</cdr:x>
      <cdr:y>0.1875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36151" y="896490"/>
          <a:ext cx="1855664" cy="2843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 i="1" u="none"/>
            <a:t>Total ≈17 ton/day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b.ca.gov/app/emsinv/fcemssumcat/fcemssumcat2016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rb.ca.gov/railyard/hra/hr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6" sqref="A6"/>
    </sheetView>
  </sheetViews>
  <sheetFormatPr defaultColWidth="8.85546875" defaultRowHeight="15" x14ac:dyDescent="0.25"/>
  <cols>
    <col min="1" max="1" width="29.28515625" customWidth="1"/>
    <col min="2" max="2" width="17.140625" customWidth="1"/>
    <col min="3" max="3" width="12.28515625" customWidth="1"/>
    <col min="4" max="4" width="31.85546875" customWidth="1"/>
    <col min="5" max="5" width="24.42578125" customWidth="1"/>
    <col min="6" max="6" width="32.7109375" customWidth="1"/>
    <col min="7" max="7" width="10.85546875" bestFit="1" customWidth="1"/>
    <col min="8" max="8" width="17.85546875" customWidth="1"/>
    <col min="9" max="9" width="25.85546875" customWidth="1"/>
  </cols>
  <sheetData>
    <row r="1" spans="1:10" ht="17.25" x14ac:dyDescent="0.25">
      <c r="A1" t="s">
        <v>66</v>
      </c>
    </row>
    <row r="2" spans="1:10" s="10" customFormat="1" x14ac:dyDescent="0.25">
      <c r="A2" s="10" t="s">
        <v>64</v>
      </c>
      <c r="B2" s="10" t="s">
        <v>63</v>
      </c>
      <c r="C2" s="10" t="s">
        <v>62</v>
      </c>
      <c r="D2" s="10" t="s">
        <v>61</v>
      </c>
      <c r="E2" s="10" t="s">
        <v>60</v>
      </c>
      <c r="F2" s="10" t="s">
        <v>59</v>
      </c>
      <c r="G2" s="10" t="s">
        <v>58</v>
      </c>
      <c r="H2" s="10" t="s">
        <v>57</v>
      </c>
      <c r="I2" s="10" t="s">
        <v>56</v>
      </c>
      <c r="J2" s="10">
        <v>2023</v>
      </c>
    </row>
    <row r="3" spans="1:10" x14ac:dyDescent="0.25">
      <c r="A3" t="s">
        <v>43</v>
      </c>
      <c r="B3" t="s">
        <v>46</v>
      </c>
      <c r="C3" t="s">
        <v>41</v>
      </c>
      <c r="D3" t="s">
        <v>55</v>
      </c>
      <c r="E3" t="s">
        <v>51</v>
      </c>
      <c r="F3" t="s">
        <v>50</v>
      </c>
      <c r="G3" t="s">
        <v>49</v>
      </c>
      <c r="H3" t="s">
        <v>48</v>
      </c>
      <c r="I3" t="s">
        <v>47</v>
      </c>
      <c r="J3">
        <v>7.8220999999999998</v>
      </c>
    </row>
    <row r="4" spans="1:10" x14ac:dyDescent="0.25">
      <c r="A4" t="s">
        <v>43</v>
      </c>
      <c r="B4" t="s">
        <v>45</v>
      </c>
      <c r="C4" t="s">
        <v>41</v>
      </c>
      <c r="D4" t="s">
        <v>54</v>
      </c>
      <c r="E4" t="s">
        <v>51</v>
      </c>
      <c r="F4" t="s">
        <v>50</v>
      </c>
      <c r="G4" t="s">
        <v>49</v>
      </c>
      <c r="H4" t="s">
        <v>48</v>
      </c>
      <c r="I4" t="s">
        <v>47</v>
      </c>
      <c r="J4">
        <v>2.9895999999999998</v>
      </c>
    </row>
    <row r="5" spans="1:10" s="10" customFormat="1" x14ac:dyDescent="0.25">
      <c r="A5" s="10" t="s">
        <v>65</v>
      </c>
      <c r="B5" s="10" t="s">
        <v>44</v>
      </c>
      <c r="C5" s="10" t="s">
        <v>41</v>
      </c>
      <c r="D5" s="10" t="s">
        <v>53</v>
      </c>
      <c r="E5" s="10" t="s">
        <v>51</v>
      </c>
      <c r="F5" s="10" t="s">
        <v>50</v>
      </c>
      <c r="G5" s="10" t="s">
        <v>49</v>
      </c>
      <c r="H5" s="10" t="s">
        <v>48</v>
      </c>
      <c r="I5" s="10" t="s">
        <v>47</v>
      </c>
      <c r="J5" s="10">
        <v>3.4544999999999999</v>
      </c>
    </row>
    <row r="6" spans="1:10" s="3" customFormat="1" x14ac:dyDescent="0.25">
      <c r="A6" s="3" t="s">
        <v>65</v>
      </c>
      <c r="B6" s="3" t="s">
        <v>42</v>
      </c>
      <c r="C6" s="3" t="s">
        <v>41</v>
      </c>
      <c r="D6" s="3" t="s">
        <v>52</v>
      </c>
      <c r="E6" s="3" t="s">
        <v>51</v>
      </c>
      <c r="F6" s="3" t="s">
        <v>50</v>
      </c>
      <c r="G6" s="3" t="s">
        <v>49</v>
      </c>
      <c r="H6" s="3" t="s">
        <v>48</v>
      </c>
      <c r="I6" s="3" t="s">
        <v>47</v>
      </c>
      <c r="J6" s="3">
        <v>1.0054000000000001</v>
      </c>
    </row>
    <row r="7" spans="1:10" x14ac:dyDescent="0.25">
      <c r="A7" s="8" t="s">
        <v>40</v>
      </c>
      <c r="B7" s="8"/>
      <c r="C7" s="8"/>
      <c r="D7" s="8"/>
      <c r="E7" s="8"/>
      <c r="F7" s="8"/>
      <c r="G7" s="8"/>
      <c r="H7" s="8"/>
      <c r="I7" s="8"/>
      <c r="J7" s="8">
        <f>J3+J4+J5</f>
        <v>14.2662</v>
      </c>
    </row>
    <row r="8" spans="1:10" x14ac:dyDescent="0.25">
      <c r="A8" s="36" t="s">
        <v>127</v>
      </c>
    </row>
  </sheetData>
  <hyperlinks>
    <hyperlink ref="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/>
  </sheetViews>
  <sheetFormatPr defaultColWidth="8.85546875" defaultRowHeight="15" x14ac:dyDescent="0.25"/>
  <cols>
    <col min="1" max="1" width="14.42578125" customWidth="1"/>
    <col min="2" max="2" width="19.42578125" customWidth="1"/>
    <col min="3" max="3" width="27" customWidth="1"/>
    <col min="4" max="4" width="23.28515625" customWidth="1"/>
    <col min="5" max="5" width="32.42578125" customWidth="1"/>
    <col min="6" max="6" width="53.42578125" customWidth="1"/>
    <col min="8" max="8" width="14.42578125" customWidth="1"/>
    <col min="9" max="9" width="13" customWidth="1"/>
    <col min="10" max="10" width="17" customWidth="1"/>
  </cols>
  <sheetData>
    <row r="1" spans="1:10" x14ac:dyDescent="0.25">
      <c r="A1" s="7" t="s">
        <v>103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t="s">
        <v>64</v>
      </c>
      <c r="B2" t="s">
        <v>63</v>
      </c>
      <c r="C2" t="s">
        <v>62</v>
      </c>
      <c r="D2" t="s">
        <v>61</v>
      </c>
      <c r="E2" t="s">
        <v>60</v>
      </c>
      <c r="F2" t="s">
        <v>59</v>
      </c>
      <c r="G2" t="s">
        <v>58</v>
      </c>
      <c r="H2" t="s">
        <v>57</v>
      </c>
      <c r="I2" t="s">
        <v>56</v>
      </c>
      <c r="J2">
        <v>2023</v>
      </c>
    </row>
    <row r="3" spans="1:10" x14ac:dyDescent="0.25">
      <c r="A3" t="s">
        <v>43</v>
      </c>
      <c r="B3" t="s">
        <v>97</v>
      </c>
      <c r="C3" t="s">
        <v>82</v>
      </c>
      <c r="D3" t="s">
        <v>81</v>
      </c>
      <c r="E3" t="s">
        <v>51</v>
      </c>
      <c r="F3" t="s">
        <v>96</v>
      </c>
      <c r="G3" t="s">
        <v>49</v>
      </c>
      <c r="H3" t="s">
        <v>48</v>
      </c>
      <c r="I3" t="s">
        <v>47</v>
      </c>
      <c r="J3">
        <v>1E-4</v>
      </c>
    </row>
    <row r="4" spans="1:10" x14ac:dyDescent="0.25">
      <c r="A4" t="s">
        <v>43</v>
      </c>
      <c r="B4" t="s">
        <v>95</v>
      </c>
      <c r="C4" t="s">
        <v>82</v>
      </c>
      <c r="D4" t="s">
        <v>81</v>
      </c>
      <c r="E4" t="s">
        <v>51</v>
      </c>
      <c r="F4" t="s">
        <v>94</v>
      </c>
      <c r="G4" t="s">
        <v>49</v>
      </c>
      <c r="H4" t="s">
        <v>48</v>
      </c>
      <c r="I4" t="s">
        <v>47</v>
      </c>
      <c r="J4">
        <v>8.3900000000000002E-2</v>
      </c>
    </row>
    <row r="5" spans="1:10" x14ac:dyDescent="0.25">
      <c r="A5" t="s">
        <v>43</v>
      </c>
      <c r="B5" t="s">
        <v>93</v>
      </c>
      <c r="C5" t="s">
        <v>82</v>
      </c>
      <c r="D5" t="s">
        <v>81</v>
      </c>
      <c r="E5" t="s">
        <v>51</v>
      </c>
      <c r="F5" t="s">
        <v>92</v>
      </c>
      <c r="G5" t="s">
        <v>49</v>
      </c>
      <c r="H5" t="s">
        <v>48</v>
      </c>
      <c r="I5" t="s">
        <v>47</v>
      </c>
      <c r="J5">
        <v>4.0000000000000001E-3</v>
      </c>
    </row>
    <row r="6" spans="1:10" x14ac:dyDescent="0.25">
      <c r="A6" t="s">
        <v>43</v>
      </c>
      <c r="B6" t="s">
        <v>91</v>
      </c>
      <c r="C6" t="s">
        <v>82</v>
      </c>
      <c r="D6" t="s">
        <v>81</v>
      </c>
      <c r="E6" t="s">
        <v>51</v>
      </c>
      <c r="F6" t="s">
        <v>90</v>
      </c>
      <c r="G6" t="s">
        <v>49</v>
      </c>
      <c r="H6" t="s">
        <v>48</v>
      </c>
      <c r="I6" t="s">
        <v>47</v>
      </c>
      <c r="J6">
        <v>1E-4</v>
      </c>
    </row>
    <row r="7" spans="1:10" x14ac:dyDescent="0.25">
      <c r="A7" t="s">
        <v>43</v>
      </c>
      <c r="B7" t="s">
        <v>89</v>
      </c>
      <c r="C7" t="s">
        <v>82</v>
      </c>
      <c r="D7" t="s">
        <v>81</v>
      </c>
      <c r="E7" t="s">
        <v>51</v>
      </c>
      <c r="F7" t="s">
        <v>88</v>
      </c>
      <c r="G7" t="s">
        <v>49</v>
      </c>
      <c r="H7" t="s">
        <v>48</v>
      </c>
      <c r="I7" t="s">
        <v>47</v>
      </c>
      <c r="J7">
        <v>1E-3</v>
      </c>
    </row>
    <row r="8" spans="1:10" x14ac:dyDescent="0.25">
      <c r="A8" t="s">
        <v>43</v>
      </c>
      <c r="B8" t="s">
        <v>87</v>
      </c>
      <c r="C8" t="s">
        <v>82</v>
      </c>
      <c r="D8" t="s">
        <v>81</v>
      </c>
      <c r="E8" t="s">
        <v>51</v>
      </c>
      <c r="F8" t="s">
        <v>86</v>
      </c>
      <c r="G8" t="s">
        <v>49</v>
      </c>
      <c r="H8" t="s">
        <v>48</v>
      </c>
      <c r="I8" t="s">
        <v>47</v>
      </c>
      <c r="J8">
        <v>6.1600000000000002E-2</v>
      </c>
    </row>
    <row r="9" spans="1:10" x14ac:dyDescent="0.25">
      <c r="A9" t="s">
        <v>43</v>
      </c>
      <c r="B9" t="s">
        <v>85</v>
      </c>
      <c r="C9" t="s">
        <v>82</v>
      </c>
      <c r="D9" t="s">
        <v>81</v>
      </c>
      <c r="E9" t="s">
        <v>51</v>
      </c>
      <c r="F9" t="s">
        <v>84</v>
      </c>
      <c r="G9" t="s">
        <v>49</v>
      </c>
      <c r="H9" t="s">
        <v>48</v>
      </c>
      <c r="I9" t="s">
        <v>47</v>
      </c>
      <c r="J9">
        <v>6.4000000000000003E-3</v>
      </c>
    </row>
    <row r="10" spans="1:10" x14ac:dyDescent="0.25">
      <c r="A10" t="s">
        <v>43</v>
      </c>
      <c r="B10" t="s">
        <v>83</v>
      </c>
      <c r="C10" t="s">
        <v>82</v>
      </c>
      <c r="D10" t="s">
        <v>81</v>
      </c>
      <c r="E10" t="s">
        <v>51</v>
      </c>
      <c r="F10" t="s">
        <v>80</v>
      </c>
      <c r="G10" t="s">
        <v>49</v>
      </c>
      <c r="H10" t="s">
        <v>48</v>
      </c>
      <c r="I10" t="s">
        <v>47</v>
      </c>
      <c r="J10">
        <v>0.1021</v>
      </c>
    </row>
    <row r="11" spans="1:10" x14ac:dyDescent="0.25">
      <c r="A11" s="12" t="s">
        <v>40</v>
      </c>
      <c r="B11" s="12"/>
      <c r="C11" s="12"/>
      <c r="D11" s="12"/>
      <c r="E11" s="12"/>
      <c r="F11" s="12"/>
      <c r="G11" s="12"/>
      <c r="H11" s="12"/>
      <c r="I11" s="12"/>
      <c r="J11" s="12">
        <v>0.25919999999999999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2" workbookViewId="0">
      <selection activeCell="A26" sqref="A26"/>
    </sheetView>
  </sheetViews>
  <sheetFormatPr defaultColWidth="8.85546875" defaultRowHeight="15" x14ac:dyDescent="0.25"/>
  <cols>
    <col min="1" max="1" width="10.5703125" bestFit="1" customWidth="1"/>
    <col min="2" max="2" width="9" bestFit="1" customWidth="1"/>
    <col min="3" max="3" width="14.28515625" customWidth="1"/>
    <col min="4" max="4" width="9" bestFit="1" customWidth="1"/>
    <col min="5" max="5" width="15.42578125" customWidth="1"/>
    <col min="6" max="6" width="9" bestFit="1" customWidth="1"/>
    <col min="7" max="8" width="10.7109375" customWidth="1"/>
    <col min="11" max="11" width="14.85546875" customWidth="1"/>
  </cols>
  <sheetData>
    <row r="1" spans="1:13" s="9" customForma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t="s">
        <v>1</v>
      </c>
    </row>
    <row r="3" spans="1:13" x14ac:dyDescent="0.25">
      <c r="A3" t="s">
        <v>2</v>
      </c>
    </row>
    <row r="4" spans="1:13" x14ac:dyDescent="0.25">
      <c r="A4" t="s">
        <v>3</v>
      </c>
    </row>
    <row r="5" spans="1:13" x14ac:dyDescent="0.25">
      <c r="A5" t="s">
        <v>4</v>
      </c>
    </row>
    <row r="6" spans="1:13" x14ac:dyDescent="0.25">
      <c r="A6" t="s">
        <v>5</v>
      </c>
    </row>
    <row r="7" spans="1:13" x14ac:dyDescent="0.25">
      <c r="A7" t="s">
        <v>6</v>
      </c>
    </row>
    <row r="9" spans="1:13" x14ac:dyDescent="0.25">
      <c r="A9" t="s">
        <v>7</v>
      </c>
      <c r="B9" t="s">
        <v>8</v>
      </c>
      <c r="C9" t="s">
        <v>9</v>
      </c>
      <c r="D9" t="s">
        <v>10</v>
      </c>
      <c r="E9" t="s">
        <v>11</v>
      </c>
      <c r="F9" t="s">
        <v>12</v>
      </c>
      <c r="G9" t="s">
        <v>13</v>
      </c>
      <c r="H9" t="s">
        <v>14</v>
      </c>
      <c r="I9" t="s">
        <v>15</v>
      </c>
      <c r="J9" t="s">
        <v>16</v>
      </c>
      <c r="K9" t="s">
        <v>17</v>
      </c>
      <c r="L9" t="s">
        <v>18</v>
      </c>
    </row>
    <row r="10" spans="1:13" x14ac:dyDescent="0.25">
      <c r="A10" t="s">
        <v>19</v>
      </c>
      <c r="B10">
        <v>2023</v>
      </c>
      <c r="C10" t="s">
        <v>20</v>
      </c>
      <c r="D10" t="s">
        <v>21</v>
      </c>
      <c r="E10" t="s">
        <v>21</v>
      </c>
      <c r="F10" t="s">
        <v>22</v>
      </c>
      <c r="G10" s="16">
        <v>15816.2229261303</v>
      </c>
      <c r="H10" s="16">
        <v>2600365.9248679099</v>
      </c>
      <c r="I10" s="11">
        <v>0</v>
      </c>
      <c r="J10" s="17">
        <v>2.6566134420674898</v>
      </c>
      <c r="K10" s="17">
        <v>21.410790071643898</v>
      </c>
      <c r="L10" s="11">
        <v>0</v>
      </c>
      <c r="M10" s="11"/>
    </row>
    <row r="12" spans="1:13" s="10" customFormat="1" x14ac:dyDescent="0.25">
      <c r="A12" s="6" t="s">
        <v>36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1" t="s">
        <v>23</v>
      </c>
    </row>
    <row r="14" spans="1:13" ht="62.25" x14ac:dyDescent="0.25">
      <c r="A14" s="2" t="s">
        <v>118</v>
      </c>
      <c r="B14" s="2" t="s">
        <v>111</v>
      </c>
      <c r="C14" s="2" t="s">
        <v>24</v>
      </c>
      <c r="D14" s="2" t="s">
        <v>39</v>
      </c>
      <c r="E14" s="2" t="s">
        <v>25</v>
      </c>
      <c r="F14" s="2" t="s">
        <v>26</v>
      </c>
      <c r="G14" s="2" t="s">
        <v>27</v>
      </c>
      <c r="H14" s="2" t="s">
        <v>28</v>
      </c>
    </row>
    <row r="15" spans="1:13" x14ac:dyDescent="0.25">
      <c r="A15" s="15">
        <f>8607992-4473549</f>
        <v>4134443</v>
      </c>
      <c r="B15" s="20">
        <v>2.0819999999999999</v>
      </c>
      <c r="C15" s="15">
        <f>(A15)*(B15)</f>
        <v>8607910.3259999994</v>
      </c>
      <c r="D15" s="19">
        <v>33.9</v>
      </c>
      <c r="E15" s="18">
        <f>C15*D15</f>
        <v>291808160.05139995</v>
      </c>
      <c r="F15" s="19">
        <f>J10</f>
        <v>2.6566134420674898</v>
      </c>
      <c r="G15" s="19">
        <f>E15*F15/(453.59*2000)</f>
        <v>854.53987135687578</v>
      </c>
      <c r="H15" s="19">
        <f>G15/365</f>
        <v>2.3412051270051393</v>
      </c>
    </row>
    <row r="16" spans="1:13" x14ac:dyDescent="0.25">
      <c r="A16" s="11"/>
      <c r="B16" s="11"/>
      <c r="C16" s="11"/>
      <c r="D16" s="11"/>
      <c r="E16" s="11"/>
      <c r="F16" s="11"/>
      <c r="G16" s="11"/>
      <c r="H16" s="11"/>
    </row>
    <row r="17" spans="1:8" x14ac:dyDescent="0.25">
      <c r="A17" s="22" t="s">
        <v>29</v>
      </c>
      <c r="B17" s="11"/>
      <c r="C17" s="11"/>
      <c r="D17" s="11"/>
      <c r="E17" s="11"/>
      <c r="F17" s="11"/>
      <c r="G17" s="11"/>
      <c r="H17" s="11"/>
    </row>
    <row r="18" spans="1:8" ht="60" x14ac:dyDescent="0.25">
      <c r="A18" s="2" t="s">
        <v>119</v>
      </c>
      <c r="B18" s="2" t="s">
        <v>30</v>
      </c>
      <c r="C18" s="2" t="s">
        <v>31</v>
      </c>
      <c r="D18" s="2" t="s">
        <v>32</v>
      </c>
      <c r="E18" s="2" t="s">
        <v>33</v>
      </c>
      <c r="F18" s="2" t="s">
        <v>34</v>
      </c>
      <c r="G18" s="2" t="s">
        <v>27</v>
      </c>
      <c r="H18" s="2" t="s">
        <v>28</v>
      </c>
    </row>
    <row r="19" spans="1:8" x14ac:dyDescent="0.25">
      <c r="A19" s="15">
        <f>A15</f>
        <v>4134443</v>
      </c>
      <c r="B19" s="20">
        <v>2.0819999999999999</v>
      </c>
      <c r="C19" s="15">
        <f>(A19)*(B19)</f>
        <v>8607910.3259999994</v>
      </c>
      <c r="D19" s="19">
        <v>30</v>
      </c>
      <c r="E19" s="18">
        <f>C19*D19/60</f>
        <v>4303955.1629999997</v>
      </c>
      <c r="F19" s="19">
        <f>(0.61*12.1)+(0.398*(((7*25.1)+(5*21.9))/12))</f>
        <v>16.840133333333334</v>
      </c>
      <c r="G19" s="19">
        <f>E19*F19/(453.59*2000)</f>
        <v>79.895036051950427</v>
      </c>
      <c r="H19" s="19">
        <f>G19/365</f>
        <v>0.21889050973137103</v>
      </c>
    </row>
    <row r="20" spans="1:8" x14ac:dyDescent="0.25">
      <c r="A20" s="8" t="s">
        <v>40</v>
      </c>
      <c r="B20" s="8"/>
      <c r="C20" s="8"/>
      <c r="D20" s="8"/>
      <c r="E20" s="8"/>
      <c r="F20" s="8"/>
      <c r="G20" s="8"/>
      <c r="H20" s="21">
        <f>SUM(H19+H15)</f>
        <v>2.5600956367365102</v>
      </c>
    </row>
    <row r="22" spans="1:8" ht="17.25" x14ac:dyDescent="0.25">
      <c r="A22" s="4">
        <v>1</v>
      </c>
      <c r="B22" t="s">
        <v>126</v>
      </c>
    </row>
    <row r="23" spans="1:8" ht="17.25" x14ac:dyDescent="0.25">
      <c r="A23" s="4">
        <v>2</v>
      </c>
      <c r="B23" t="s">
        <v>125</v>
      </c>
    </row>
    <row r="24" spans="1:8" ht="17.25" x14ac:dyDescent="0.25">
      <c r="A24" s="4">
        <v>3</v>
      </c>
      <c r="B24" t="s">
        <v>38</v>
      </c>
    </row>
    <row r="25" spans="1:8" ht="17.25" x14ac:dyDescent="0.25">
      <c r="A25" s="4"/>
      <c r="B25" s="5" t="s">
        <v>37</v>
      </c>
    </row>
    <row r="26" spans="1:8" ht="17.25" x14ac:dyDescent="0.25">
      <c r="A26" s="4">
        <v>4</v>
      </c>
      <c r="B26" t="s">
        <v>35</v>
      </c>
    </row>
    <row r="27" spans="1:8" ht="17.25" x14ac:dyDescent="0.25">
      <c r="A27" s="4">
        <v>5</v>
      </c>
      <c r="B27" t="s">
        <v>112</v>
      </c>
    </row>
    <row r="28" spans="1:8" ht="17.25" x14ac:dyDescent="0.25">
      <c r="A28" s="4">
        <v>6</v>
      </c>
      <c r="B28" t="s">
        <v>120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/>
  </sheetViews>
  <sheetFormatPr defaultColWidth="8.85546875" defaultRowHeight="15" x14ac:dyDescent="0.25"/>
  <cols>
    <col min="1" max="1" width="22.140625" customWidth="1"/>
    <col min="2" max="2" width="14.140625" customWidth="1"/>
    <col min="3" max="3" width="23.85546875" customWidth="1"/>
    <col min="4" max="4" width="34.42578125" customWidth="1"/>
    <col min="5" max="5" width="27.7109375" customWidth="1"/>
    <col min="6" max="6" width="41.28515625" customWidth="1"/>
    <col min="8" max="8" width="22.140625" customWidth="1"/>
    <col min="9" max="9" width="26.28515625" customWidth="1"/>
  </cols>
  <sheetData>
    <row r="1" spans="1:10" s="7" customFormat="1" x14ac:dyDescent="0.25">
      <c r="A1" s="7" t="s">
        <v>117</v>
      </c>
    </row>
    <row r="2" spans="1:10" x14ac:dyDescent="0.25">
      <c r="A2" t="s">
        <v>64</v>
      </c>
      <c r="B2" t="s">
        <v>63</v>
      </c>
      <c r="C2" t="s">
        <v>62</v>
      </c>
      <c r="D2" t="s">
        <v>61</v>
      </c>
      <c r="E2" t="s">
        <v>60</v>
      </c>
      <c r="F2" t="s">
        <v>59</v>
      </c>
      <c r="G2" t="s">
        <v>58</v>
      </c>
      <c r="H2" t="s">
        <v>57</v>
      </c>
      <c r="I2" t="s">
        <v>56</v>
      </c>
      <c r="J2" s="10">
        <v>2005</v>
      </c>
    </row>
    <row r="3" spans="1:10" x14ac:dyDescent="0.25">
      <c r="A3" t="s">
        <v>43</v>
      </c>
      <c r="B3" t="s">
        <v>102</v>
      </c>
      <c r="C3" t="s">
        <v>82</v>
      </c>
      <c r="D3" t="s">
        <v>99</v>
      </c>
      <c r="E3" t="s">
        <v>51</v>
      </c>
      <c r="F3" t="s">
        <v>101</v>
      </c>
      <c r="G3" t="s">
        <v>49</v>
      </c>
      <c r="H3" t="s">
        <v>48</v>
      </c>
      <c r="I3" t="s">
        <v>47</v>
      </c>
      <c r="J3" s="23">
        <v>0.52100000000000002</v>
      </c>
    </row>
    <row r="4" spans="1:10" x14ac:dyDescent="0.25">
      <c r="A4" t="s">
        <v>43</v>
      </c>
      <c r="B4" t="s">
        <v>100</v>
      </c>
      <c r="C4" t="s">
        <v>82</v>
      </c>
      <c r="D4" t="s">
        <v>99</v>
      </c>
      <c r="E4" t="s">
        <v>51</v>
      </c>
      <c r="F4" t="s">
        <v>98</v>
      </c>
      <c r="G4" t="s">
        <v>49</v>
      </c>
      <c r="H4" t="s">
        <v>48</v>
      </c>
      <c r="I4" t="s">
        <v>47</v>
      </c>
      <c r="J4" s="23">
        <v>5.97</v>
      </c>
    </row>
    <row r="5" spans="1:10" x14ac:dyDescent="0.25">
      <c r="A5" s="12" t="s">
        <v>105</v>
      </c>
      <c r="B5" s="12"/>
      <c r="C5" s="12"/>
      <c r="D5" s="12"/>
      <c r="E5" s="12"/>
      <c r="F5" s="12"/>
      <c r="G5" s="12"/>
      <c r="H5" s="12"/>
      <c r="I5" s="12"/>
      <c r="J5" s="32">
        <f>(J4+J3)*365</f>
        <v>2369.2149999999997</v>
      </c>
    </row>
    <row r="6" spans="1:10" s="10" customFormat="1" x14ac:dyDescent="0.25"/>
    <row r="7" spans="1:10" s="7" customFormat="1" x14ac:dyDescent="0.25">
      <c r="A7" s="7" t="s">
        <v>104</v>
      </c>
    </row>
    <row r="8" spans="1:10" x14ac:dyDescent="0.25">
      <c r="A8" t="s">
        <v>64</v>
      </c>
      <c r="B8" t="s">
        <v>63</v>
      </c>
      <c r="C8" t="s">
        <v>62</v>
      </c>
      <c r="D8" t="s">
        <v>61</v>
      </c>
      <c r="E8" t="s">
        <v>60</v>
      </c>
      <c r="F8" t="s">
        <v>59</v>
      </c>
      <c r="G8" t="s">
        <v>58</v>
      </c>
      <c r="H8" t="s">
        <v>57</v>
      </c>
      <c r="I8" t="s">
        <v>56</v>
      </c>
      <c r="J8">
        <v>2023</v>
      </c>
    </row>
    <row r="9" spans="1:10" x14ac:dyDescent="0.25">
      <c r="A9" t="s">
        <v>43</v>
      </c>
      <c r="B9" t="s">
        <v>102</v>
      </c>
      <c r="C9" t="s">
        <v>82</v>
      </c>
      <c r="D9" t="s">
        <v>99</v>
      </c>
      <c r="E9" t="s">
        <v>51</v>
      </c>
      <c r="F9" t="s">
        <v>101</v>
      </c>
      <c r="G9" t="s">
        <v>49</v>
      </c>
      <c r="H9" t="s">
        <v>48</v>
      </c>
      <c r="I9" t="s">
        <v>47</v>
      </c>
      <c r="J9">
        <v>0.36830000000000002</v>
      </c>
    </row>
    <row r="10" spans="1:10" x14ac:dyDescent="0.25">
      <c r="A10" t="s">
        <v>43</v>
      </c>
      <c r="B10" t="s">
        <v>100</v>
      </c>
      <c r="C10" t="s">
        <v>82</v>
      </c>
      <c r="D10" t="s">
        <v>99</v>
      </c>
      <c r="E10" t="s">
        <v>51</v>
      </c>
      <c r="F10" t="s">
        <v>98</v>
      </c>
      <c r="G10" t="s">
        <v>49</v>
      </c>
      <c r="H10" t="s">
        <v>48</v>
      </c>
      <c r="I10" t="s">
        <v>47</v>
      </c>
      <c r="J10">
        <v>3.9855999999999998</v>
      </c>
    </row>
    <row r="11" spans="1:10" x14ac:dyDescent="0.25">
      <c r="A11" s="12" t="s">
        <v>105</v>
      </c>
      <c r="B11" s="12"/>
      <c r="C11" s="12"/>
      <c r="D11" s="12"/>
      <c r="E11" s="12"/>
      <c r="F11" s="12"/>
      <c r="G11" s="12"/>
      <c r="H11" s="12"/>
      <c r="I11" s="12"/>
      <c r="J11" s="12">
        <f>SUM(J9:J10)*365</f>
        <v>1589.1734999999999</v>
      </c>
    </row>
    <row r="12" spans="1:10" s="10" customFormat="1" x14ac:dyDescent="0.25"/>
    <row r="13" spans="1:10" s="10" customFormat="1" x14ac:dyDescent="0.25">
      <c r="A13" s="7" t="s">
        <v>128</v>
      </c>
      <c r="B13" s="7"/>
      <c r="C13" s="7"/>
      <c r="D13" s="7"/>
      <c r="E13" s="7"/>
      <c r="F13" s="7"/>
      <c r="G13" s="7"/>
      <c r="H13" s="7"/>
    </row>
    <row r="14" spans="1:10" x14ac:dyDescent="0.25">
      <c r="A14" s="14" t="s">
        <v>71</v>
      </c>
      <c r="B14" s="13" t="s">
        <v>113</v>
      </c>
      <c r="C14" t="s">
        <v>121</v>
      </c>
      <c r="D14" s="11" t="s">
        <v>122</v>
      </c>
    </row>
    <row r="15" spans="1:10" x14ac:dyDescent="0.25">
      <c r="A15" t="s">
        <v>78</v>
      </c>
      <c r="B15" s="11">
        <v>1.51</v>
      </c>
      <c r="C15" s="17">
        <v>13.47</v>
      </c>
      <c r="D15" s="17">
        <f>C15/B15</f>
        <v>8.9205298013245038</v>
      </c>
    </row>
    <row r="16" spans="1:10" x14ac:dyDescent="0.25">
      <c r="A16" t="s">
        <v>76</v>
      </c>
      <c r="B16" s="11" t="s">
        <v>123</v>
      </c>
      <c r="C16" s="11" t="s">
        <v>123</v>
      </c>
      <c r="D16" s="11"/>
    </row>
    <row r="17" spans="1:7" x14ac:dyDescent="0.25">
      <c r="A17" t="s">
        <v>75</v>
      </c>
      <c r="B17" s="11">
        <v>0.27</v>
      </c>
      <c r="C17" s="17">
        <v>2.4300000000000002</v>
      </c>
      <c r="D17" s="17">
        <f t="shared" ref="D17:D19" si="0">C17/B17</f>
        <v>9</v>
      </c>
    </row>
    <row r="18" spans="1:7" x14ac:dyDescent="0.25">
      <c r="A18" t="s">
        <v>74</v>
      </c>
      <c r="B18" s="11">
        <v>0.27</v>
      </c>
      <c r="C18" s="17">
        <v>2.4300000000000002</v>
      </c>
      <c r="D18" s="17">
        <f t="shared" si="0"/>
        <v>9</v>
      </c>
    </row>
    <row r="19" spans="1:7" x14ac:dyDescent="0.25">
      <c r="A19" t="s">
        <v>73</v>
      </c>
      <c r="B19" s="11">
        <v>0.46</v>
      </c>
      <c r="C19" s="17">
        <v>4.07</v>
      </c>
      <c r="D19" s="17">
        <f t="shared" si="0"/>
        <v>8.8478260869565215</v>
      </c>
      <c r="F19" s="11"/>
      <c r="G19" s="11"/>
    </row>
    <row r="20" spans="1:7" x14ac:dyDescent="0.25">
      <c r="A20" t="s">
        <v>72</v>
      </c>
      <c r="B20" s="11" t="s">
        <v>123</v>
      </c>
      <c r="C20" s="11" t="s">
        <v>123</v>
      </c>
      <c r="D20" s="11"/>
      <c r="F20" s="11"/>
      <c r="G20" s="11"/>
    </row>
    <row r="21" spans="1:7" x14ac:dyDescent="0.25">
      <c r="A21" t="s">
        <v>77</v>
      </c>
      <c r="B21" s="11">
        <v>3.31</v>
      </c>
      <c r="C21" s="27">
        <f>B21*D$27</f>
        <v>29.598314497552551</v>
      </c>
      <c r="D21" s="11"/>
    </row>
    <row r="22" spans="1:7" x14ac:dyDescent="0.25">
      <c r="A22" t="s">
        <v>79</v>
      </c>
      <c r="B22" s="11">
        <v>3.57</v>
      </c>
      <c r="C22" s="27">
        <f>B22*D$27</f>
        <v>31.923257630290816</v>
      </c>
      <c r="D22" s="11"/>
    </row>
    <row r="23" spans="1:7" x14ac:dyDescent="0.25">
      <c r="A23" t="s">
        <v>70</v>
      </c>
      <c r="B23" s="11">
        <v>0.97</v>
      </c>
      <c r="C23" s="27">
        <f>B23*D$27</f>
        <v>8.6738263029081484</v>
      </c>
      <c r="D23" s="11"/>
      <c r="F23" s="11"/>
      <c r="G23" s="11"/>
    </row>
    <row r="24" spans="1:7" x14ac:dyDescent="0.25">
      <c r="A24" t="s">
        <v>69</v>
      </c>
      <c r="B24" s="11">
        <v>0</v>
      </c>
      <c r="C24" s="27">
        <f>B24*D$27</f>
        <v>0</v>
      </c>
      <c r="D24" s="11"/>
      <c r="F24" s="11"/>
      <c r="G24" s="11"/>
    </row>
    <row r="25" spans="1:7" x14ac:dyDescent="0.25">
      <c r="A25" t="s">
        <v>68</v>
      </c>
      <c r="B25" s="11">
        <v>0.03</v>
      </c>
      <c r="C25" s="27">
        <f>B25*D$27</f>
        <v>0.26826266916210773</v>
      </c>
      <c r="D25" s="11"/>
      <c r="F25" s="11"/>
      <c r="G25" s="11"/>
    </row>
    <row r="26" spans="1:7" x14ac:dyDescent="0.25">
      <c r="B26" s="11"/>
      <c r="C26" s="17"/>
      <c r="D26" s="11"/>
    </row>
    <row r="27" spans="1:7" x14ac:dyDescent="0.25">
      <c r="A27" s="12" t="s">
        <v>40</v>
      </c>
      <c r="B27" s="28">
        <f>SUM(B15:B25)</f>
        <v>10.39</v>
      </c>
      <c r="C27" s="31">
        <f>SUM(C15:C25)</f>
        <v>92.863661099913642</v>
      </c>
      <c r="D27" s="30">
        <f>AVERAGE(D15,D17:D19)</f>
        <v>8.9420889720702572</v>
      </c>
    </row>
    <row r="28" spans="1:7" x14ac:dyDescent="0.25">
      <c r="B28" s="11"/>
      <c r="C28" s="11"/>
      <c r="D28" s="11"/>
    </row>
    <row r="29" spans="1:7" x14ac:dyDescent="0.25">
      <c r="A29" t="s">
        <v>124</v>
      </c>
      <c r="B29" s="11"/>
      <c r="C29" s="11"/>
      <c r="D29" s="11"/>
    </row>
    <row r="30" spans="1:7" x14ac:dyDescent="0.25">
      <c r="A30" s="12" t="s">
        <v>67</v>
      </c>
      <c r="B30" s="28"/>
      <c r="C30" s="29">
        <f>C27/J5</f>
        <v>3.9195961995814502E-2</v>
      </c>
      <c r="D30" s="33"/>
    </row>
    <row r="32" spans="1:7" x14ac:dyDescent="0.25">
      <c r="A32" t="s">
        <v>115</v>
      </c>
    </row>
    <row r="33" spans="1:3" x14ac:dyDescent="0.25">
      <c r="A33" s="34" t="s">
        <v>114</v>
      </c>
      <c r="B33" s="34"/>
      <c r="C33" s="35">
        <f>C30*J11/365</f>
        <v>0.17065529893357675</v>
      </c>
    </row>
    <row r="36" spans="1:3" x14ac:dyDescent="0.25">
      <c r="A36" s="36" t="s">
        <v>129</v>
      </c>
    </row>
  </sheetData>
  <hyperlinks>
    <hyperlink ref="A36" r:id="rId1"/>
  </hyperlinks>
  <pageMargins left="0.7" right="0.7" top="0.75" bottom="0.75" header="0.3" footer="0.3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Normal="100" workbookViewId="0">
      <selection activeCell="D12" sqref="D12"/>
    </sheetView>
  </sheetViews>
  <sheetFormatPr defaultColWidth="8.85546875" defaultRowHeight="15" x14ac:dyDescent="0.25"/>
  <cols>
    <col min="1" max="1" width="38.28515625" bestFit="1" customWidth="1"/>
    <col min="2" max="2" width="18.42578125" customWidth="1"/>
  </cols>
  <sheetData>
    <row r="1" spans="1:3" x14ac:dyDescent="0.25">
      <c r="A1" s="25" t="s">
        <v>106</v>
      </c>
      <c r="B1" s="25" t="s">
        <v>116</v>
      </c>
    </row>
    <row r="2" spans="1:3" x14ac:dyDescent="0.25">
      <c r="A2" t="s">
        <v>107</v>
      </c>
      <c r="B2" s="17">
        <f>Locomotives!J7</f>
        <v>14.2662</v>
      </c>
      <c r="C2" s="24">
        <f>B2/B6</f>
        <v>0.82673129443428894</v>
      </c>
    </row>
    <row r="3" spans="1:3" x14ac:dyDescent="0.25">
      <c r="A3" t="s">
        <v>110</v>
      </c>
      <c r="B3" s="17">
        <f>CargoHandlingEqt!J11</f>
        <v>0.25919999999999999</v>
      </c>
      <c r="C3" s="24">
        <f>B3/B6</f>
        <v>1.5020730924658823E-2</v>
      </c>
    </row>
    <row r="4" spans="1:3" x14ac:dyDescent="0.25">
      <c r="A4" t="s">
        <v>108</v>
      </c>
      <c r="B4" s="17">
        <f>HeavyDutyDieselTrucks!H20</f>
        <v>2.5600956367365102</v>
      </c>
      <c r="C4" s="24">
        <f>B4/B6</f>
        <v>0.14835844020375086</v>
      </c>
    </row>
    <row r="5" spans="1:3" x14ac:dyDescent="0.25">
      <c r="A5" t="s">
        <v>109</v>
      </c>
      <c r="B5" s="17">
        <f>TRU!C33</f>
        <v>0.17065529893357675</v>
      </c>
      <c r="C5" s="24">
        <f>B5/B6</f>
        <v>9.8895344373012058E-3</v>
      </c>
    </row>
    <row r="6" spans="1:3" x14ac:dyDescent="0.25">
      <c r="A6" s="25" t="s">
        <v>40</v>
      </c>
      <c r="B6" s="26">
        <f>SUM(B2:B5)</f>
        <v>17.256150935670089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Locomotives</vt:lpstr>
      <vt:lpstr>CargoHandlingEqt</vt:lpstr>
      <vt:lpstr>HeavyDutyDieselTrucks</vt:lpstr>
      <vt:lpstr>TRU</vt:lpstr>
      <vt:lpstr>SumRailyardEmissions</vt:lpstr>
      <vt:lpstr>2023 Stacked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Garcia</dc:creator>
  <cp:lastModifiedBy>Ian MacMillan</cp:lastModifiedBy>
  <dcterms:created xsi:type="dcterms:W3CDTF">2018-01-04T22:40:18Z</dcterms:created>
  <dcterms:modified xsi:type="dcterms:W3CDTF">2018-01-25T21:26:36Z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14f00131-c2da-4691-930a-42de1a72d5d9</vt:lpwstr>
  </property>
</Properties>
</file>