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1\aqmd_fs\EXCHANGE\kcheung\Rule 2305 Compliance Website\"/>
    </mc:Choice>
  </mc:AlternateContent>
  <xr:revisionPtr revIDLastSave="0" documentId="13_ncr:1_{3C1C06EC-8512-4B6A-8735-785F73CCFE57}" xr6:coauthVersionLast="36" xr6:coauthVersionMax="46" xr10:uidLastSave="{00000000-0000-0000-0000-000000000000}"/>
  <bookViews>
    <workbookView xWindow="-105" yWindow="-105" windowWidth="25185" windowHeight="16395" activeTab="1" xr2:uid="{858F492D-2414-456C-8EF8-D689E4284B4F}"/>
  </bookViews>
  <sheets>
    <sheet name="Read me" sheetId="4" r:id="rId1"/>
    <sheet name="Calculator" sheetId="1" r:id="rId2"/>
    <sheet name="WAIRE Menu" sheetId="3" r:id="rId3"/>
    <sheet name="Data" sheetId="2" r:id="rId4"/>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olver_adj" localSheetId="2" hidden="1">'WAIRE Menu'!#REF!</definedName>
    <definedName name="solver_cvg" localSheetId="2" hidden="1">0.0001</definedName>
    <definedName name="solver_drv" localSheetId="2" hidden="1">2</definedName>
    <definedName name="solver_eng" localSheetId="2" hidden="1">3</definedName>
    <definedName name="solver_est" localSheetId="2" hidden="1">1</definedName>
    <definedName name="solver_itr" localSheetId="2" hidden="1">2147483647</definedName>
    <definedName name="solver_lhs1" localSheetId="2" hidden="1">'WAIRE Menu'!#REF!</definedName>
    <definedName name="solver_lhs2" localSheetId="2" hidden="1">'WAIRE Menu'!#REF!</definedName>
    <definedName name="solver_lhs3" localSheetId="2" hidden="1">'WAIRE Menu'!#REF!</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3</definedName>
    <definedName name="solver_nwt" localSheetId="2" hidden="1">1</definedName>
    <definedName name="solver_opt" localSheetId="2" hidden="1">'WAIRE Menu'!#REF!</definedName>
    <definedName name="solver_pre" localSheetId="2" hidden="1">0.000001</definedName>
    <definedName name="solver_rbv" localSheetId="2" hidden="1">2</definedName>
    <definedName name="solver_rel1" localSheetId="2" hidden="1">3</definedName>
    <definedName name="solver_rel2" localSheetId="2" hidden="1">1</definedName>
    <definedName name="solver_rel3" localSheetId="2" hidden="1">3</definedName>
    <definedName name="solver_rhs1" localSheetId="2" hidden="1">0.0000001</definedName>
    <definedName name="solver_rhs2" localSheetId="2" hidden="1">10*'WAIRE Menu'!#REF!</definedName>
    <definedName name="solver_rhs3" localSheetId="2" hidden="1">'WAIRE Menu'!#REF!/2</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100</definedName>
    <definedName name="solver_ver" localSheetId="2"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2" i="1" l="1"/>
  <c r="C14" i="1" l="1"/>
  <c r="C13" i="1"/>
  <c r="C21" i="1" l="1"/>
  <c r="I2" i="1" l="1"/>
  <c r="H28" i="3"/>
  <c r="G27" i="3" l="1"/>
  <c r="I28" i="3" l="1"/>
  <c r="G8" i="3" l="1"/>
  <c r="G9" i="3"/>
  <c r="G10" i="3"/>
  <c r="H10" i="3"/>
  <c r="H8" i="3" s="1"/>
  <c r="I10" i="3"/>
  <c r="I8" i="3" s="1"/>
  <c r="G11" i="3"/>
  <c r="H11" i="3"/>
  <c r="H9" i="3" s="1"/>
  <c r="I11" i="3"/>
  <c r="I9" i="3" s="1"/>
  <c r="G12" i="3"/>
  <c r="H12" i="3"/>
  <c r="I12" i="3"/>
  <c r="H29" i="3"/>
  <c r="I29" i="3"/>
  <c r="C25" i="2" l="1"/>
  <c r="C26" i="2"/>
  <c r="D26" i="2" s="1"/>
  <c r="C24" i="2"/>
  <c r="C21" i="2"/>
  <c r="C12" i="2"/>
  <c r="C11" i="2"/>
  <c r="C19" i="2"/>
  <c r="D19" i="2" l="1"/>
  <c r="I19" i="1"/>
  <c r="D11" i="2"/>
  <c r="I11" i="1"/>
  <c r="D21" i="2"/>
  <c r="I21" i="1"/>
  <c r="D12" i="2"/>
  <c r="I12" i="1"/>
  <c r="I26" i="1"/>
  <c r="D24" i="2"/>
  <c r="I24" i="1"/>
  <c r="D25" i="2"/>
  <c r="I25" i="1"/>
  <c r="D2" i="2"/>
  <c r="C16" i="1" l="1"/>
  <c r="C15" i="1"/>
  <c r="C23" i="2" l="1"/>
  <c r="I23" i="1" s="1"/>
  <c r="C4" i="2"/>
  <c r="I4" i="1" s="1"/>
  <c r="C22" i="2"/>
  <c r="I22" i="1" s="1"/>
  <c r="C20" i="2"/>
  <c r="I20" i="1" s="1"/>
  <c r="D20" i="2" l="1"/>
  <c r="D22" i="2"/>
  <c r="D4" i="2"/>
  <c r="D23" i="2"/>
  <c r="C15" i="2"/>
  <c r="I15" i="1" s="1"/>
  <c r="C16" i="2"/>
  <c r="I16" i="1" s="1"/>
  <c r="C17" i="2"/>
  <c r="I17" i="1" s="1"/>
  <c r="C18" i="2"/>
  <c r="I18" i="1" s="1"/>
  <c r="C10" i="2"/>
  <c r="I10" i="1" s="1"/>
  <c r="C27" i="2"/>
  <c r="I27" i="1" s="1"/>
  <c r="C14" i="2"/>
  <c r="I14" i="1" s="1"/>
  <c r="C6" i="2"/>
  <c r="I6" i="1" s="1"/>
  <c r="C9" i="2"/>
  <c r="I9" i="1" s="1"/>
  <c r="C3" i="2"/>
  <c r="I3" i="1" s="1"/>
  <c r="C13" i="2"/>
  <c r="I13" i="1" s="1"/>
  <c r="C28" i="2"/>
  <c r="I28" i="1" s="1"/>
  <c r="C8" i="2"/>
  <c r="I8" i="1" s="1"/>
  <c r="C5" i="2"/>
  <c r="I5" i="1" s="1"/>
  <c r="D14" i="2" l="1"/>
  <c r="D8" i="2"/>
  <c r="D28" i="2"/>
  <c r="D18" i="2"/>
  <c r="D5" i="2"/>
  <c r="D6" i="2"/>
  <c r="D27" i="2"/>
  <c r="D10" i="2"/>
  <c r="D13" i="2"/>
  <c r="D16" i="2"/>
  <c r="D17" i="2"/>
  <c r="D3" i="2"/>
  <c r="D9" i="2"/>
  <c r="D15" i="2"/>
  <c r="C7" i="2"/>
  <c r="I7" i="1" s="1"/>
  <c r="D7" i="2" l="1"/>
  <c r="I29" i="1" l="1"/>
  <c r="B22" i="1" l="1"/>
  <c r="C22" i="1" s="1"/>
  <c r="C24" i="1"/>
  <c r="C23" i="1"/>
</calcChain>
</file>

<file path=xl/sharedStrings.xml><?xml version="1.0" encoding="utf-8"?>
<sst xmlns="http://schemas.openxmlformats.org/spreadsheetml/2006/main" count="234" uniqueCount="163">
  <si>
    <t>WPCO</t>
  </si>
  <si>
    <t>Mitigation Fee</t>
  </si>
  <si>
    <t>H2 Station Usage</t>
  </si>
  <si>
    <t>Charger Usage</t>
  </si>
  <si>
    <t>AUM</t>
  </si>
  <si>
    <t>Points</t>
  </si>
  <si>
    <t>WAIRE Menu Item</t>
  </si>
  <si>
    <t>WAIRE Menu Sub-Item</t>
  </si>
  <si>
    <t>Reporting Metric</t>
  </si>
  <si>
    <t>Annualized Metric</t>
  </si>
  <si>
    <t>Annualized Incremental Cost
($/metric)</t>
  </si>
  <si>
    <t>Annualized Regional Emissions Reduction
(lb NOx/ metric)</t>
  </si>
  <si>
    <t>Annualized 
Local Benefit
(lb DPM/ metric)</t>
  </si>
  <si>
    <t>Cost</t>
  </si>
  <si>
    <t>WAIRE Points</t>
  </si>
  <si>
    <t>Acquire NZE/ZE Trucks in Warehouse Operator Truck Fleet</t>
  </si>
  <si>
    <t>Purchase Truck</t>
  </si>
  <si>
    <t>Class 8 Truck</t>
  </si>
  <si>
    <t>NZE</t>
  </si>
  <si>
    <t>Number of trucks</t>
  </si>
  <si>
    <t>1 truck purchased</t>
  </si>
  <si>
    <t>Class 4 - 7 Truck</t>
  </si>
  <si>
    <t>ZE</t>
  </si>
  <si>
    <t>NZE/ZE Truck Visits</t>
  </si>
  <si>
    <t>365 truck visits</t>
  </si>
  <si>
    <t>WTTR</t>
  </si>
  <si>
    <t>Acquire ZE Yard Truck</t>
  </si>
  <si>
    <t>Purchase Yard Truck</t>
  </si>
  <si>
    <t>Number of yard trucks</t>
  </si>
  <si>
    <t>Use ZE Yard Truck</t>
  </si>
  <si>
    <t>Onsite Yard Truck Use</t>
  </si>
  <si>
    <t>Hours of use</t>
  </si>
  <si>
    <t>Install onsite ZE charging or fueling infrastructure</t>
  </si>
  <si>
    <t>Electric Charger</t>
  </si>
  <si>
    <t>EVSE Purchase</t>
  </si>
  <si>
    <t>Number of EVSE purchased</t>
  </si>
  <si>
    <t>1 EVSE Purchased</t>
  </si>
  <si>
    <t>TRU Plug</t>
  </si>
  <si>
    <t>1 Plug Purchased</t>
  </si>
  <si>
    <t>Construction Mobilization</t>
  </si>
  <si>
    <t>First day of construction</t>
  </si>
  <si>
    <t>1 construction project</t>
  </si>
  <si>
    <t>Final Permit Sign Off &amp; Charger Energization</t>
  </si>
  <si>
    <t>The latter of the final permit sign off or charger energization</t>
  </si>
  <si>
    <t>Hydrogen Station</t>
  </si>
  <si>
    <t>1 700 kg/day project</t>
  </si>
  <si>
    <t>Use onsite ZE charging or fueling infrastructure</t>
  </si>
  <si>
    <t>Car or truck charging</t>
  </si>
  <si>
    <t>kWh of dispensed electricity</t>
  </si>
  <si>
    <t>165,000 kWh</t>
  </si>
  <si>
    <t>kWh of dispensed electricity 
beyond CARB requirements</t>
  </si>
  <si>
    <t>Car or truck fueling</t>
  </si>
  <si>
    <t>Install onsite energy systems</t>
  </si>
  <si>
    <t>Solar Panels</t>
  </si>
  <si>
    <t>Estimated annual production (kWh)</t>
  </si>
  <si>
    <t>Usage of onsite energy systems</t>
  </si>
  <si>
    <t>Community Benefits</t>
  </si>
  <si>
    <t>Air Filters for Sensitive Receptors</t>
  </si>
  <si>
    <t>Stand-alone systems</t>
  </si>
  <si>
    <t>Number of systems</t>
  </si>
  <si>
    <t>25 systems</t>
  </si>
  <si>
    <t>Filters</t>
  </si>
  <si>
    <t>Number of filters</t>
  </si>
  <si>
    <t>200 filters</t>
  </si>
  <si>
    <t># of Filters</t>
  </si>
  <si>
    <t>Class 8</t>
  </si>
  <si>
    <t>Class 4-7</t>
  </si>
  <si>
    <t>Total</t>
  </si>
  <si>
    <t>Warehouse Size</t>
  </si>
  <si>
    <t>Cold Storage</t>
  </si>
  <si>
    <t>User Input</t>
  </si>
  <si>
    <t>Resulting Points</t>
  </si>
  <si>
    <t>NZE Class 8 Truck Visits</t>
  </si>
  <si>
    <t>ZE Class 8 Truck Visits</t>
  </si>
  <si>
    <t>NZE Class 4-7 Truck Visits</t>
  </si>
  <si>
    <t>ZE Class 4-7 Truck Visits</t>
  </si>
  <si>
    <t>H2 Station Installations</t>
  </si>
  <si>
    <t>Filter System Installations</t>
  </si>
  <si>
    <t>Units</t>
  </si>
  <si>
    <t>$</t>
  </si>
  <si>
    <t># of Annual Visits</t>
  </si>
  <si>
    <t># of Trucks</t>
  </si>
  <si>
    <t>NZE Class 8 Truck Acquisitions</t>
  </si>
  <si>
    <t>ZE Class 8 Truck Acquisitions</t>
  </si>
  <si>
    <t>NZE Class 4-7 Truck Acquisitions</t>
  </si>
  <si>
    <t>ZE Class 4-7 Truck Acquisitions</t>
  </si>
  <si>
    <t># of 700 kg/day Stations</t>
  </si>
  <si>
    <t>Annual kg dispensed</t>
  </si>
  <si>
    <t>#of Chargers Installed</t>
  </si>
  <si>
    <t>Annual kWh dispensed</t>
  </si>
  <si>
    <t xml:space="preserve"> ZE Hostler Acquisitions</t>
  </si>
  <si>
    <t>ZE Hostler Usage</t>
  </si>
  <si>
    <t>Annual Hours of Use</t>
  </si>
  <si>
    <t># of Installations</t>
  </si>
  <si>
    <t>Filter Purchases</t>
  </si>
  <si>
    <t>WAIRE Menu Action</t>
  </si>
  <si>
    <t>User Inputs</t>
  </si>
  <si>
    <t>Regional Emission Reduction</t>
  </si>
  <si>
    <t>Local Emission Reduction</t>
  </si>
  <si>
    <t>Warehouse Size (square feet)</t>
  </si>
  <si>
    <t>Constant</t>
  </si>
  <si>
    <t>Class 2b-3</t>
  </si>
  <si>
    <t>10,658 kWh</t>
  </si>
  <si>
    <t>Rooftop Solar</t>
  </si>
  <si>
    <t>Average System Design Purchased</t>
  </si>
  <si>
    <t>100 kW</t>
  </si>
  <si>
    <t>Carport Solar</t>
  </si>
  <si>
    <t>kWh Production</t>
  </si>
  <si>
    <t>ZE Class 2b-3 Truck Visits</t>
  </si>
  <si>
    <t>ZE Class 2b-3 Truck Acquisitions</t>
  </si>
  <si>
    <t>TRU Plug Installations</t>
  </si>
  <si>
    <t>TRU Plug Usage</t>
  </si>
  <si>
    <t>Solar Panel Usage</t>
  </si>
  <si>
    <t>Rooftop Solar Panel Installations</t>
  </si>
  <si>
    <t>Carport Solar Panel Installations</t>
  </si>
  <si>
    <t>#of Plugs Installed</t>
  </si>
  <si>
    <t>Annual kWh Produced</t>
  </si>
  <si>
    <r>
      <t>Liquid or Gaseous H</t>
    </r>
    <r>
      <rPr>
        <vertAlign val="subscript"/>
        <sz val="11"/>
        <color theme="4" tint="-0.499984740745262"/>
        <rFont val="Calibri"/>
        <family val="2"/>
        <scheme val="minor"/>
      </rPr>
      <t>2</t>
    </r>
  </si>
  <si>
    <r>
      <t>Total kg of dispensed 
H</t>
    </r>
    <r>
      <rPr>
        <vertAlign val="subscript"/>
        <sz val="11"/>
        <color theme="4" tint="-0.499984740745262"/>
        <rFont val="Calibri"/>
        <family val="2"/>
        <scheme val="minor"/>
      </rPr>
      <t>2</t>
    </r>
    <r>
      <rPr>
        <sz val="11"/>
        <color theme="4" tint="-0.499984740745262"/>
        <rFont val="Calibri"/>
        <family val="2"/>
        <scheme val="minor"/>
      </rPr>
      <t xml:space="preserve"> capacity per day</t>
    </r>
  </si>
  <si>
    <r>
      <t>Total kg of dispensed H</t>
    </r>
    <r>
      <rPr>
        <vertAlign val="subscript"/>
        <sz val="11"/>
        <color theme="4" tint="-0.499984740745262"/>
        <rFont val="Calibri"/>
        <family val="2"/>
        <scheme val="minor"/>
      </rPr>
      <t>2</t>
    </r>
  </si>
  <si>
    <t>Truck Visits</t>
  </si>
  <si>
    <t>Number of Visits</t>
  </si>
  <si>
    <t>WATT (Weighted Annual Truck Trip)</t>
  </si>
  <si>
    <t>**WATT is based on trips and points are based on visits.</t>
  </si>
  <si>
    <r>
      <t xml:space="preserve">Users can modify cells outlined in </t>
    </r>
    <r>
      <rPr>
        <b/>
        <sz val="11"/>
        <color rgb="FFFF0000"/>
        <rFont val="Calibri"/>
        <family val="2"/>
        <scheme val="minor"/>
      </rPr>
      <t>RED</t>
    </r>
  </si>
  <si>
    <t>Additional Number of Points Required</t>
  </si>
  <si>
    <t>Number of Points Banked</t>
  </si>
  <si>
    <t>Update</t>
  </si>
  <si>
    <r>
      <t>Stringency (Point/WATT)</t>
    </r>
    <r>
      <rPr>
        <vertAlign val="superscript"/>
        <sz val="11"/>
        <color theme="1"/>
        <rFont val="Calibri"/>
        <family val="2"/>
        <scheme val="minor"/>
      </rPr>
      <t>1</t>
    </r>
  </si>
  <si>
    <t>Average Daily Class 8 Visits</t>
  </si>
  <si>
    <t>Average Daily Class 8 Trips</t>
  </si>
  <si>
    <t>Daily Visits</t>
  </si>
  <si>
    <t>Annual Visits</t>
  </si>
  <si>
    <r>
      <t>Class 8 Truck Visits</t>
    </r>
    <r>
      <rPr>
        <vertAlign val="superscript"/>
        <sz val="11"/>
        <rFont val="Calibri"/>
        <family val="2"/>
        <scheme val="minor"/>
      </rPr>
      <t>2</t>
    </r>
  </si>
  <si>
    <r>
      <t>Class 2b-7 Truck Visits</t>
    </r>
    <r>
      <rPr>
        <vertAlign val="superscript"/>
        <sz val="11"/>
        <rFont val="Calibri"/>
        <family val="2"/>
        <scheme val="minor"/>
      </rPr>
      <t>2</t>
    </r>
  </si>
  <si>
    <t>Average Daily Class 2b-7 Visits</t>
  </si>
  <si>
    <t>Average Daily Class 2b-7 Trips</t>
  </si>
  <si>
    <r>
      <t>C</t>
    </r>
    <r>
      <rPr>
        <b/>
        <sz val="10"/>
        <color rgb="FF000000"/>
        <rFont val="Times New Roman"/>
        <family val="1"/>
      </rPr>
      <t>ompliance Year</t>
    </r>
  </si>
  <si>
    <t>WAIRE Program Stringencies for Warehouse Building Size Bins</t>
  </si>
  <si>
    <r>
      <t>&gt;</t>
    </r>
    <r>
      <rPr>
        <i/>
        <sz val="10"/>
        <color rgb="FF000000"/>
        <rFont val="Times New Roman"/>
        <family val="1"/>
      </rPr>
      <t>250,000 sf</t>
    </r>
  </si>
  <si>
    <r>
      <t>&gt;</t>
    </r>
    <r>
      <rPr>
        <i/>
        <sz val="10"/>
        <color rgb="FF000000"/>
        <rFont val="Times New Roman"/>
        <family val="1"/>
      </rPr>
      <t>150,000-249,999 sf</t>
    </r>
  </si>
  <si>
    <r>
      <t>&gt;</t>
    </r>
    <r>
      <rPr>
        <i/>
        <sz val="10"/>
        <color rgb="FF000000"/>
        <rFont val="Times New Roman"/>
        <family val="1"/>
      </rPr>
      <t>100,000-149,999 sf</t>
    </r>
  </si>
  <si>
    <t>No WPCO</t>
  </si>
  <si>
    <t>2026 and beyond</t>
  </si>
  <si>
    <t>Up to 19.2 kW EVSE  Acquisition</t>
  </si>
  <si>
    <t>19.2-50 kW EVSE Acquisition</t>
  </si>
  <si>
    <t>51-149 kW EVSE Acquisition</t>
  </si>
  <si>
    <t>150-350 kW EVSE Acquisition</t>
  </si>
  <si>
    <t>150-350 kW EVSE</t>
  </si>
  <si>
    <t>51-149 kW EVSE</t>
  </si>
  <si>
    <t>19.2-50 kW EVSE</t>
  </si>
  <si>
    <t>Up to 19.2 kW EVSE</t>
  </si>
  <si>
    <t>19.2-350 kW EVSE</t>
  </si>
  <si>
    <r>
      <rPr>
        <vertAlign val="superscript"/>
        <sz val="11"/>
        <color theme="1"/>
        <rFont val="Calibri"/>
        <family val="2"/>
        <scheme val="minor"/>
      </rPr>
      <t>2</t>
    </r>
    <r>
      <rPr>
        <i/>
        <sz val="10"/>
        <color theme="1"/>
        <rFont val="Calibri"/>
        <family val="2"/>
        <scheme val="minor"/>
      </rPr>
      <t>Select Visits type from the drop down menu</t>
    </r>
    <r>
      <rPr>
        <i/>
        <sz val="11"/>
        <color theme="1"/>
        <rFont val="Calibri"/>
        <family val="2"/>
        <scheme val="minor"/>
      </rPr>
      <t>.                     (Cells D4 &amp; D5)</t>
    </r>
  </si>
  <si>
    <r>
      <rPr>
        <i/>
        <vertAlign val="superscript"/>
        <sz val="10"/>
        <color theme="1"/>
        <rFont val="Calibri"/>
        <family val="2"/>
        <scheme val="minor"/>
      </rPr>
      <t>1</t>
    </r>
    <r>
      <rPr>
        <i/>
        <sz val="10"/>
        <color theme="1"/>
        <rFont val="Calibri"/>
        <family val="2"/>
        <scheme val="minor"/>
      </rPr>
      <t>The proposed final stringency of rule 2305 is 0.0025 WAIRE Points per WATT.</t>
    </r>
  </si>
  <si>
    <t>*A truck entering a site is one trip, and a truck leaving the site is a second trip.</t>
  </si>
  <si>
    <t xml:space="preserve">  1 Visit equals 2 Trips.</t>
  </si>
  <si>
    <t>Version 5/7/2021</t>
  </si>
  <si>
    <t>Updates and Descriptions</t>
  </si>
  <si>
    <t>Version</t>
  </si>
  <si>
    <r>
      <t xml:space="preserve">On the "Calculator" tab: 
</t>
    </r>
    <r>
      <rPr>
        <b/>
        <sz val="11"/>
        <color theme="1"/>
        <rFont val="Times New Roman"/>
        <family val="1"/>
      </rPr>
      <t>1)</t>
    </r>
    <r>
      <rPr>
        <sz val="11"/>
        <color theme="1"/>
        <rFont val="Times New Roman"/>
        <family val="1"/>
      </rPr>
      <t xml:space="preserve"> Updated to remove buttons for estimating average truck trip rate.  User is required to provide their own data for truck visits. In a case of force majeure event user can provide default truck trip rates from the Staff Report (Chapter 2, Table 4).                                                                                                                                                                           </t>
    </r>
    <r>
      <rPr>
        <b/>
        <sz val="11"/>
        <color theme="1"/>
        <rFont val="Times New Roman"/>
        <family val="1"/>
      </rPr>
      <t>2)</t>
    </r>
    <r>
      <rPr>
        <sz val="11"/>
        <color theme="1"/>
        <rFont val="Times New Roman"/>
        <family val="1"/>
      </rPr>
      <t xml:space="preserve"> Cells C13 - C16 are modified to match the user's selection of "Annual" vs "Daily" visits from cells D4 &amp; D5.</t>
    </r>
  </si>
  <si>
    <t>Version 1.1
(Released 6/23/2021)</t>
  </si>
  <si>
    <t>Version 6/23/2021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</si>
</sst>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
    <numFmt numFmtId="165" formatCode="0.0"/>
    <numFmt numFmtId="166" formatCode="#,##0.0"/>
  </numFmts>
  <fonts count="33">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00B0F0"/>
      <name val="Calibri"/>
      <family val="2"/>
      <scheme val="minor"/>
    </font>
    <font>
      <sz val="11"/>
      <color rgb="FF7030A0"/>
      <name val="Calibri"/>
      <family val="2"/>
      <scheme val="minor"/>
    </font>
    <font>
      <sz val="11"/>
      <color theme="0"/>
      <name val="Calibri"/>
      <family val="2"/>
      <scheme val="minor"/>
    </font>
    <font>
      <sz val="11"/>
      <color theme="4" tint="-0.499984740745262"/>
      <name val="Calibri"/>
      <family val="2"/>
      <scheme val="minor"/>
    </font>
    <font>
      <vertAlign val="subscript"/>
      <sz val="11"/>
      <color theme="4" tint="-0.499984740745262"/>
      <name val="Calibri"/>
      <family val="2"/>
      <scheme val="minor"/>
    </font>
    <font>
      <b/>
      <sz val="11"/>
      <color rgb="FFFF0000"/>
      <name val="Calibri"/>
      <family val="2"/>
      <scheme val="minor"/>
    </font>
    <font>
      <sz val="9"/>
      <color rgb="FF0C0C0C"/>
      <name val="Inherit"/>
    </font>
    <font>
      <sz val="11"/>
      <color theme="1"/>
      <name val="Segoe UI Symbol"/>
      <family val="2"/>
    </font>
    <font>
      <sz val="12"/>
      <color theme="1"/>
      <name val="Wingdings"/>
      <charset val="2"/>
    </font>
    <font>
      <b/>
      <i/>
      <u/>
      <sz val="11"/>
      <color rgb="FF000000"/>
      <name val="Calibri"/>
      <family val="2"/>
      <scheme val="minor"/>
    </font>
    <font>
      <i/>
      <sz val="11"/>
      <color rgb="FF000000"/>
      <name val="Calibri"/>
      <family val="2"/>
      <scheme val="minor"/>
    </font>
    <font>
      <sz val="8"/>
      <name val="Calibri"/>
      <family val="2"/>
      <scheme val="minor"/>
    </font>
    <font>
      <i/>
      <sz val="10"/>
      <name val="Calibri"/>
      <family val="2"/>
      <scheme val="minor"/>
    </font>
    <font>
      <sz val="10"/>
      <color theme="1"/>
      <name val="Calibri"/>
      <family val="2"/>
      <scheme val="minor"/>
    </font>
    <font>
      <i/>
      <sz val="10"/>
      <color theme="1"/>
      <name val="Calibri"/>
      <family val="2"/>
      <scheme val="minor"/>
    </font>
    <font>
      <vertAlign val="superscript"/>
      <sz val="11"/>
      <color theme="1"/>
      <name val="Calibri"/>
      <family val="2"/>
      <scheme val="minor"/>
    </font>
    <font>
      <i/>
      <vertAlign val="superscript"/>
      <sz val="10"/>
      <color theme="1"/>
      <name val="Calibri"/>
      <family val="2"/>
      <scheme val="minor"/>
    </font>
    <font>
      <sz val="11"/>
      <color rgb="FF000000"/>
      <name val="Calibri"/>
      <family val="2"/>
      <scheme val="minor"/>
    </font>
    <font>
      <u/>
      <sz val="11"/>
      <color theme="10"/>
      <name val="Calibri"/>
      <family val="2"/>
      <scheme val="minor"/>
    </font>
    <font>
      <i/>
      <sz val="10"/>
      <color theme="4" tint="-0.499984740745262"/>
      <name val="Calibri"/>
      <family val="2"/>
      <scheme val="minor"/>
    </font>
    <font>
      <vertAlign val="superscript"/>
      <sz val="11"/>
      <name val="Calibri"/>
      <family val="2"/>
      <scheme val="minor"/>
    </font>
    <font>
      <b/>
      <sz val="10"/>
      <color theme="1"/>
      <name val="Times New Roman"/>
      <family val="1"/>
    </font>
    <font>
      <b/>
      <sz val="10"/>
      <color rgb="FF000000"/>
      <name val="Times New Roman"/>
      <family val="1"/>
    </font>
    <font>
      <i/>
      <u/>
      <sz val="10"/>
      <color rgb="FF000000"/>
      <name val="Times New Roman"/>
      <family val="1"/>
    </font>
    <font>
      <i/>
      <sz val="10"/>
      <color rgb="FF000000"/>
      <name val="Times New Roman"/>
      <family val="1"/>
    </font>
    <font>
      <sz val="10"/>
      <color theme="1"/>
      <name val="Times New Roman"/>
      <family val="1"/>
    </font>
    <font>
      <b/>
      <i/>
      <u/>
      <sz val="11"/>
      <color rgb="FF000000"/>
      <name val="Times New Roman"/>
      <family val="1"/>
    </font>
    <font>
      <b/>
      <sz val="11"/>
      <color theme="1"/>
      <name val="Times New Roman"/>
      <family val="1"/>
    </font>
    <font>
      <sz val="11"/>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72">
    <xf numFmtId="0" fontId="0" fillId="0" borderId="0" xfId="0"/>
    <xf numFmtId="0" fontId="0" fillId="0" borderId="0" xfId="0" applyAlignment="1">
      <alignment horizontal="center"/>
    </xf>
    <xf numFmtId="0" fontId="0" fillId="2" borderId="0" xfId="0" applyFont="1" applyFill="1" applyBorder="1" applyAlignment="1">
      <alignment vertical="center" wrapText="1"/>
    </xf>
    <xf numFmtId="0" fontId="0" fillId="2" borderId="0" xfId="0" applyFont="1" applyFill="1" applyBorder="1" applyAlignment="1">
      <alignment horizontal="center" vertical="center" wrapText="1"/>
    </xf>
    <xf numFmtId="0" fontId="0" fillId="0" borderId="0" xfId="0" applyFont="1" applyBorder="1" applyAlignment="1">
      <alignment vertical="center" wrapText="1"/>
    </xf>
    <xf numFmtId="1" fontId="0" fillId="0" borderId="0" xfId="0" applyNumberFormat="1" applyFont="1" applyBorder="1" applyAlignment="1">
      <alignment vertical="center" wrapText="1"/>
    </xf>
    <xf numFmtId="0" fontId="1" fillId="0" borderId="0" xfId="0" applyFont="1" applyBorder="1" applyAlignment="1">
      <alignment vertical="center" wrapText="1"/>
    </xf>
    <xf numFmtId="164" fontId="0" fillId="0" borderId="0" xfId="0" applyNumberFormat="1" applyFont="1" applyBorder="1" applyAlignment="1">
      <alignment vertical="center" wrapText="1"/>
    </xf>
    <xf numFmtId="0" fontId="0" fillId="0" borderId="0" xfId="0" applyProtection="1">
      <protection locked="0"/>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0" fillId="0" borderId="0" xfId="0" applyFont="1" applyAlignment="1" applyProtection="1">
      <alignment horizontal="right"/>
      <protection locked="0"/>
    </xf>
    <xf numFmtId="0" fontId="0" fillId="0" borderId="0" xfId="0" applyFont="1" applyFill="1" applyBorder="1" applyAlignment="1" applyProtection="1">
      <alignment horizontal="right"/>
      <protection locked="0"/>
    </xf>
    <xf numFmtId="0" fontId="0"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2" borderId="0" xfId="0" applyFont="1" applyFill="1" applyBorder="1" applyAlignment="1">
      <alignment vertical="center" wrapText="1"/>
    </xf>
    <xf numFmtId="0" fontId="4" fillId="0" borderId="0" xfId="0" applyFont="1" applyBorder="1" applyAlignment="1">
      <alignment horizontal="center" vertical="center"/>
    </xf>
    <xf numFmtId="165" fontId="5" fillId="0" borderId="0" xfId="0" applyNumberFormat="1" applyFont="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6" fillId="9"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Alignment="1" applyProtection="1">
      <alignment horizontal="left"/>
      <protection locked="0"/>
    </xf>
    <xf numFmtId="0" fontId="2" fillId="0" borderId="1" xfId="0" applyFont="1" applyBorder="1" applyAlignment="1">
      <alignment horizontal="center" vertical="center" wrapText="1"/>
    </xf>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Font="1" applyAlignment="1" applyProtection="1">
      <alignment horizontal="right"/>
      <protection locked="0"/>
    </xf>
    <xf numFmtId="0" fontId="0" fillId="6" borderId="10" xfId="0" applyFont="1" applyFill="1" applyBorder="1" applyAlignment="1" applyProtection="1">
      <alignment horizontal="right"/>
    </xf>
    <xf numFmtId="0" fontId="0" fillId="6" borderId="5" xfId="0" applyFont="1" applyFill="1" applyBorder="1" applyAlignment="1" applyProtection="1">
      <alignment horizontal="center"/>
    </xf>
    <xf numFmtId="0" fontId="2" fillId="0" borderId="1" xfId="0" applyFont="1" applyFill="1" applyBorder="1" applyAlignment="1">
      <alignment horizontal="center" vertical="center" wrapText="1"/>
    </xf>
    <xf numFmtId="0" fontId="1" fillId="0" borderId="0" xfId="0" applyFont="1" applyFill="1" applyBorder="1" applyAlignment="1" applyProtection="1">
      <alignment horizontal="center"/>
    </xf>
    <xf numFmtId="0" fontId="2" fillId="6" borderId="10" xfId="0" applyFont="1" applyFill="1" applyBorder="1" applyAlignment="1" applyProtection="1">
      <alignment horizontal="right"/>
    </xf>
    <xf numFmtId="0" fontId="2" fillId="6" borderId="10" xfId="0" applyFont="1" applyFill="1" applyBorder="1" applyAlignment="1">
      <alignment horizontal="right"/>
    </xf>
    <xf numFmtId="3" fontId="0" fillId="2" borderId="22" xfId="0" applyNumberFormat="1" applyFill="1" applyBorder="1" applyAlignment="1" applyProtection="1">
      <alignment horizontal="center"/>
      <protection locked="0"/>
    </xf>
    <xf numFmtId="3" fontId="0" fillId="2" borderId="23" xfId="0" applyNumberFormat="1" applyFill="1" applyBorder="1" applyAlignment="1" applyProtection="1">
      <alignment horizontal="center"/>
      <protection locked="0"/>
    </xf>
    <xf numFmtId="3" fontId="0" fillId="2" borderId="24" xfId="0" applyNumberFormat="1" applyFill="1" applyBorder="1" applyAlignment="1" applyProtection="1">
      <alignment horizontal="center"/>
      <protection locked="0"/>
    </xf>
    <xf numFmtId="3" fontId="0" fillId="6" borderId="25" xfId="0" applyNumberFormat="1" applyFill="1" applyBorder="1" applyAlignment="1" applyProtection="1">
      <alignment horizontal="center"/>
    </xf>
    <xf numFmtId="0" fontId="1" fillId="0" borderId="7" xfId="0" applyFont="1" applyBorder="1" applyAlignment="1" applyProtection="1">
      <alignment horizontal="right" vertical="center"/>
    </xf>
    <xf numFmtId="0" fontId="0" fillId="0" borderId="10" xfId="0" applyBorder="1" applyAlignment="1" applyProtection="1">
      <alignment horizontal="right"/>
      <protection locked="0"/>
    </xf>
    <xf numFmtId="0" fontId="0" fillId="0" borderId="10" xfId="0" applyFont="1" applyBorder="1" applyAlignment="1" applyProtection="1">
      <alignment horizontal="right"/>
      <protection locked="0"/>
    </xf>
    <xf numFmtId="0" fontId="0" fillId="0" borderId="11" xfId="0" applyFont="1" applyBorder="1" applyAlignment="1" applyProtection="1">
      <alignment horizontal="right"/>
      <protection locked="0"/>
    </xf>
    <xf numFmtId="0" fontId="10" fillId="0" borderId="0" xfId="0" applyFont="1" applyAlignment="1">
      <alignment horizontal="left" vertical="center" indent="1"/>
    </xf>
    <xf numFmtId="0" fontId="11" fillId="0" borderId="0" xfId="0" applyFont="1" applyProtection="1">
      <protection locked="0"/>
    </xf>
    <xf numFmtId="0" fontId="0" fillId="2" borderId="29" xfId="0" applyFill="1" applyBorder="1" applyProtection="1"/>
    <xf numFmtId="3" fontId="0" fillId="2" borderId="30" xfId="0" applyNumberFormat="1" applyFill="1" applyBorder="1" applyAlignment="1" applyProtection="1">
      <alignment horizontal="center"/>
    </xf>
    <xf numFmtId="0" fontId="0" fillId="2" borderId="15" xfId="0" applyFill="1" applyBorder="1" applyProtection="1">
      <protection locked="0"/>
    </xf>
    <xf numFmtId="0" fontId="0" fillId="0" borderId="1" xfId="0" applyBorder="1"/>
    <xf numFmtId="0" fontId="0" fillId="0" borderId="1" xfId="0" applyFont="1" applyBorder="1" applyAlignment="1">
      <alignment horizontal="right" vertical="center"/>
    </xf>
    <xf numFmtId="0" fontId="0" fillId="0" borderId="1" xfId="0" applyBorder="1" applyAlignment="1">
      <alignment horizontal="center"/>
    </xf>
    <xf numFmtId="0" fontId="2" fillId="0" borderId="1" xfId="0" applyFont="1" applyBorder="1" applyAlignment="1">
      <alignment horizontal="right"/>
    </xf>
    <xf numFmtId="0" fontId="2" fillId="0" borderId="1" xfId="0" applyFont="1" applyFill="1" applyBorder="1" applyAlignment="1">
      <alignment horizontal="right"/>
    </xf>
    <xf numFmtId="0" fontId="0" fillId="0" borderId="1" xfId="0" applyBorder="1" applyAlignment="1">
      <alignment horizontal="right"/>
    </xf>
    <xf numFmtId="0" fontId="0" fillId="0" borderId="1" xfId="0" applyBorder="1" applyAlignment="1">
      <alignment horizontal="center" vertical="center"/>
    </xf>
    <xf numFmtId="1" fontId="0" fillId="0" borderId="1" xfId="0" applyNumberFormat="1" applyFill="1" applyBorder="1" applyAlignment="1">
      <alignment horizontal="center" vertical="center"/>
    </xf>
    <xf numFmtId="0" fontId="0" fillId="0" borderId="0" xfId="0" applyAlignment="1">
      <alignment horizontal="center" vertical="center"/>
    </xf>
    <xf numFmtId="3" fontId="0" fillId="0" borderId="1" xfId="0" applyNumberFormat="1" applyFill="1" applyBorder="1" applyAlignment="1">
      <alignment horizontal="center" vertical="center"/>
    </xf>
    <xf numFmtId="3" fontId="12" fillId="0" borderId="28" xfId="0" applyNumberFormat="1" applyFont="1" applyBorder="1" applyAlignment="1" applyProtection="1">
      <alignment horizontal="center"/>
    </xf>
    <xf numFmtId="0" fontId="16" fillId="2" borderId="0" xfId="0" applyFont="1" applyFill="1" applyAlignment="1" applyProtection="1">
      <alignment horizontal="left"/>
      <protection locked="0"/>
    </xf>
    <xf numFmtId="0" fontId="16" fillId="2" borderId="0" xfId="0" applyFont="1" applyFill="1" applyProtection="1">
      <protection locked="0"/>
    </xf>
    <xf numFmtId="0" fontId="17" fillId="2" borderId="0" xfId="0" applyFont="1" applyFill="1" applyAlignment="1" applyProtection="1">
      <alignment horizontal="center"/>
      <protection locked="0"/>
    </xf>
    <xf numFmtId="0" fontId="0" fillId="0" borderId="0" xfId="0" applyFill="1" applyAlignment="1" applyProtection="1">
      <alignment horizontal="center" wrapText="1"/>
      <protection locked="0"/>
    </xf>
    <xf numFmtId="0" fontId="0" fillId="0" borderId="0" xfId="0" applyFill="1" applyProtection="1">
      <protection locked="0"/>
    </xf>
    <xf numFmtId="0" fontId="23" fillId="2" borderId="14" xfId="0" applyFont="1" applyFill="1" applyBorder="1" applyProtection="1"/>
    <xf numFmtId="1" fontId="23" fillId="2" borderId="15" xfId="0" applyNumberFormat="1" applyFont="1" applyFill="1" applyBorder="1" applyAlignment="1" applyProtection="1">
      <alignment horizontal="center"/>
    </xf>
    <xf numFmtId="0" fontId="23" fillId="2" borderId="16" xfId="0" applyFont="1" applyFill="1" applyBorder="1" applyProtection="1"/>
    <xf numFmtId="1" fontId="23" fillId="2" borderId="31" xfId="0" applyNumberFormat="1" applyFont="1" applyFill="1" applyBorder="1" applyAlignment="1" applyProtection="1">
      <alignment horizontal="center"/>
    </xf>
    <xf numFmtId="166" fontId="1" fillId="0" borderId="9" xfId="0" applyNumberFormat="1" applyFont="1" applyBorder="1" applyAlignment="1" applyProtection="1">
      <alignment horizontal="center"/>
    </xf>
    <xf numFmtId="166" fontId="0" fillId="0" borderId="28" xfId="0" applyNumberFormat="1" applyBorder="1" applyAlignment="1" applyProtection="1">
      <alignment horizontal="center"/>
    </xf>
    <xf numFmtId="166" fontId="0" fillId="0" borderId="13" xfId="0" applyNumberFormat="1" applyBorder="1" applyAlignment="1" applyProtection="1">
      <alignment horizontal="center"/>
    </xf>
    <xf numFmtId="166" fontId="1" fillId="10" borderId="13" xfId="0" applyNumberFormat="1" applyFont="1" applyFill="1" applyBorder="1" applyAlignment="1" applyProtection="1">
      <alignment horizontal="center"/>
    </xf>
    <xf numFmtId="0" fontId="0" fillId="0" borderId="0" xfId="0" applyBorder="1" applyProtection="1">
      <protection locked="0"/>
    </xf>
    <xf numFmtId="0" fontId="0" fillId="0" borderId="0" xfId="0" applyBorder="1" applyAlignment="1" applyProtection="1">
      <alignment horizontal="center"/>
      <protection locked="0"/>
    </xf>
    <xf numFmtId="0" fontId="29" fillId="0" borderId="34" xfId="0" applyFont="1" applyBorder="1" applyAlignment="1">
      <alignment horizontal="center" vertical="center" wrapText="1"/>
    </xf>
    <xf numFmtId="0" fontId="29" fillId="0" borderId="31" xfId="0" applyFont="1" applyBorder="1" applyAlignment="1">
      <alignment horizontal="center" vertical="center" wrapText="1"/>
    </xf>
    <xf numFmtId="0" fontId="1" fillId="4" borderId="26" xfId="0" applyFont="1" applyFill="1" applyBorder="1" applyAlignment="1" applyProtection="1">
      <alignment horizontal="center" vertical="center" wrapText="1"/>
      <protection locked="0"/>
    </xf>
    <xf numFmtId="0" fontId="27" fillId="12" borderId="31" xfId="0" applyFont="1" applyFill="1" applyBorder="1" applyAlignment="1">
      <alignment horizontal="center" vertical="center" wrapText="1"/>
    </xf>
    <xf numFmtId="0" fontId="0" fillId="3" borderId="38" xfId="0" applyFill="1" applyBorder="1" applyProtection="1"/>
    <xf numFmtId="0" fontId="0" fillId="3" borderId="39" xfId="0" applyFill="1" applyBorder="1" applyProtection="1"/>
    <xf numFmtId="0" fontId="2" fillId="3" borderId="39" xfId="0" applyFont="1" applyFill="1" applyBorder="1" applyProtection="1"/>
    <xf numFmtId="0" fontId="3" fillId="2" borderId="25" xfId="0" applyFont="1" applyFill="1" applyBorder="1" applyProtection="1">
      <protection locked="0"/>
    </xf>
    <xf numFmtId="0" fontId="0" fillId="3" borderId="22" xfId="0" applyFill="1" applyBorder="1" applyAlignment="1" applyProtection="1">
      <alignment horizontal="center"/>
      <protection locked="0"/>
    </xf>
    <xf numFmtId="3" fontId="0" fillId="3" borderId="23" xfId="0" applyNumberFormat="1" applyFill="1" applyBorder="1" applyAlignment="1" applyProtection="1">
      <alignment horizontal="center"/>
      <protection locked="0"/>
    </xf>
    <xf numFmtId="0" fontId="0" fillId="3" borderId="23" xfId="0" applyFill="1" applyBorder="1" applyAlignment="1" applyProtection="1">
      <alignment horizontal="center"/>
      <protection locked="0"/>
    </xf>
    <xf numFmtId="0" fontId="0" fillId="3" borderId="24" xfId="0" applyFill="1" applyBorder="1" applyAlignment="1" applyProtection="1">
      <alignment horizontal="center"/>
      <protection locked="0"/>
    </xf>
    <xf numFmtId="0" fontId="7" fillId="0" borderId="1" xfId="0" applyFont="1" applyBorder="1" applyAlignment="1">
      <alignment vertical="center" wrapText="1"/>
    </xf>
    <xf numFmtId="0" fontId="0" fillId="2" borderId="15" xfId="0" applyFill="1" applyBorder="1" applyAlignment="1" applyProtection="1">
      <alignment vertical="center" wrapText="1"/>
    </xf>
    <xf numFmtId="0" fontId="0" fillId="2" borderId="15" xfId="0" applyFill="1" applyBorder="1" applyAlignment="1" applyProtection="1">
      <alignment wrapText="1"/>
    </xf>
    <xf numFmtId="0" fontId="0" fillId="2" borderId="31" xfId="0" applyFill="1" applyBorder="1" applyAlignment="1" applyProtection="1">
      <alignment wrapText="1"/>
    </xf>
    <xf numFmtId="0" fontId="0" fillId="2" borderId="0" xfId="0" applyFont="1" applyFill="1" applyAlignment="1" applyProtection="1">
      <alignment horizontal="right"/>
      <protection locked="0"/>
    </xf>
    <xf numFmtId="0" fontId="0" fillId="2" borderId="0" xfId="0" applyFill="1" applyAlignment="1" applyProtection="1">
      <alignment horizontal="center"/>
      <protection locked="0"/>
    </xf>
    <xf numFmtId="0" fontId="0" fillId="0" borderId="0" xfId="0" applyFill="1" applyAlignment="1" applyProtection="1">
      <alignment horizontal="center"/>
      <protection locked="0"/>
    </xf>
    <xf numFmtId="0" fontId="0" fillId="11" borderId="0" xfId="0" applyFill="1"/>
    <xf numFmtId="0" fontId="0" fillId="11" borderId="0" xfId="0" applyFill="1" applyBorder="1" applyAlignment="1">
      <alignment horizontal="center" vertical="center"/>
    </xf>
    <xf numFmtId="0" fontId="0" fillId="11" borderId="0" xfId="0" applyFill="1" applyBorder="1"/>
    <xf numFmtId="0" fontId="13" fillId="11" borderId="0" xfId="0" applyFont="1" applyFill="1" applyBorder="1" applyAlignment="1">
      <alignment vertical="top"/>
    </xf>
    <xf numFmtId="17" fontId="0" fillId="11" borderId="0" xfId="0" applyNumberFormat="1" applyFill="1" applyBorder="1" applyAlignment="1">
      <alignment horizontal="center" vertical="center"/>
    </xf>
    <xf numFmtId="0" fontId="21" fillId="11" borderId="0" xfId="0" applyFont="1" applyFill="1" applyBorder="1"/>
    <xf numFmtId="0" fontId="22" fillId="11" borderId="0" xfId="1" applyFill="1"/>
    <xf numFmtId="49" fontId="0" fillId="11" borderId="0" xfId="0" applyNumberFormat="1" applyFill="1" applyBorder="1"/>
    <xf numFmtId="0" fontId="14" fillId="11" borderId="0" xfId="0" applyFont="1" applyFill="1" applyBorder="1"/>
    <xf numFmtId="17" fontId="0" fillId="11" borderId="0" xfId="0" applyNumberFormat="1" applyFill="1" applyBorder="1"/>
    <xf numFmtId="0" fontId="6" fillId="11" borderId="0" xfId="0" applyFont="1" applyFill="1"/>
    <xf numFmtId="0" fontId="13" fillId="11" borderId="32" xfId="0" applyFont="1" applyFill="1" applyBorder="1" applyAlignment="1">
      <alignment horizontal="left" vertical="top"/>
    </xf>
    <xf numFmtId="0" fontId="13" fillId="11" borderId="0" xfId="0" applyFont="1" applyFill="1" applyBorder="1" applyAlignment="1">
      <alignment horizontal="left" vertical="top"/>
    </xf>
    <xf numFmtId="0" fontId="30" fillId="2" borderId="32" xfId="0" applyFont="1" applyFill="1" applyBorder="1" applyAlignment="1">
      <alignment horizontal="center" vertical="center"/>
    </xf>
    <xf numFmtId="0" fontId="30" fillId="2" borderId="0" xfId="0" applyFont="1" applyFill="1" applyAlignment="1">
      <alignment horizontal="center" vertical="center"/>
    </xf>
    <xf numFmtId="0" fontId="31" fillId="6" borderId="0" xfId="0" applyFont="1" applyFill="1" applyAlignment="1">
      <alignment horizontal="center" vertical="center"/>
    </xf>
    <xf numFmtId="0" fontId="31" fillId="6" borderId="0" xfId="0" applyFont="1" applyFill="1" applyAlignment="1">
      <alignment horizontal="center"/>
    </xf>
    <xf numFmtId="14" fontId="32" fillId="2" borderId="0" xfId="0" applyNumberFormat="1" applyFont="1" applyFill="1" applyAlignment="1">
      <alignment horizontal="center" vertical="center" wrapText="1"/>
    </xf>
    <xf numFmtId="14" fontId="32" fillId="2" borderId="0" xfId="0" applyNumberFormat="1" applyFont="1" applyFill="1" applyAlignment="1">
      <alignment horizontal="center" vertical="center"/>
    </xf>
    <xf numFmtId="0" fontId="32" fillId="2" borderId="0" xfId="0" applyFont="1" applyFill="1" applyAlignment="1">
      <alignment horizontal="left" vertical="center" wrapText="1"/>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25" fillId="12" borderId="33" xfId="0" applyFont="1" applyFill="1" applyBorder="1" applyAlignment="1">
      <alignment horizontal="center" vertical="center" wrapText="1"/>
    </xf>
    <xf numFmtId="0" fontId="25" fillId="12" borderId="34" xfId="0" applyFont="1" applyFill="1" applyBorder="1" applyAlignment="1">
      <alignment horizontal="center" vertical="center" wrapText="1"/>
    </xf>
    <xf numFmtId="0" fontId="26" fillId="12" borderId="37"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35" xfId="0" applyFont="1" applyFill="1" applyBorder="1" applyAlignment="1">
      <alignment horizontal="center" vertical="center" wrapText="1"/>
    </xf>
    <xf numFmtId="0" fontId="1" fillId="5" borderId="7" xfId="0" applyFont="1" applyFill="1" applyBorder="1" applyAlignment="1" applyProtection="1">
      <alignment horizontal="center" vertical="center"/>
      <protection locked="0"/>
    </xf>
    <xf numFmtId="0" fontId="1" fillId="5" borderId="26"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10" borderId="11" xfId="0" applyFont="1" applyFill="1" applyBorder="1" applyAlignment="1" applyProtection="1">
      <alignment horizontal="center"/>
    </xf>
    <xf numFmtId="0" fontId="1" fillId="10" borderId="12" xfId="0" applyFont="1" applyFill="1" applyBorder="1" applyAlignment="1" applyProtection="1">
      <alignment horizontal="center"/>
    </xf>
    <xf numFmtId="0" fontId="1" fillId="10" borderId="27" xfId="0" applyFont="1" applyFill="1" applyBorder="1" applyAlignment="1" applyProtection="1">
      <alignment horizontal="center"/>
    </xf>
    <xf numFmtId="0" fontId="18" fillId="2" borderId="14" xfId="0" applyFont="1" applyFill="1" applyBorder="1" applyAlignment="1" applyProtection="1">
      <alignment horizontal="left" wrapText="1"/>
      <protection locked="0"/>
    </xf>
    <xf numFmtId="0" fontId="18" fillId="2" borderId="0" xfId="0" applyFont="1" applyFill="1" applyBorder="1" applyAlignment="1" applyProtection="1">
      <alignment horizontal="left" wrapText="1"/>
      <protection locked="0"/>
    </xf>
    <xf numFmtId="0" fontId="3" fillId="2" borderId="14"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2">
    <cellStyle name="Hyperlink" xfId="1" builtinId="8"/>
    <cellStyle name="Normal" xfId="0" builtinId="0"/>
  </cellStyles>
  <dxfs count="4">
    <dxf>
      <fill>
        <patternFill>
          <bgColor theme="5"/>
        </patternFill>
      </fill>
    </dxf>
    <dxf>
      <fill>
        <patternFill>
          <bgColor rgb="FF00B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31E7F8EF-808E-4621-A532-3F595A1AF26A}">
      <tableStyleElement type="wholeTable" dxfId="3"/>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13</xdr:col>
      <xdr:colOff>25400</xdr:colOff>
      <xdr:row>25</xdr:row>
      <xdr:rowOff>19050</xdr:rowOff>
    </xdr:to>
    <xdr:sp macro="" textlink="">
      <xdr:nvSpPr>
        <xdr:cNvPr id="2" name="TextBox 1">
          <a:extLst>
            <a:ext uri="{FF2B5EF4-FFF2-40B4-BE49-F238E27FC236}">
              <a16:creationId xmlns:a16="http://schemas.microsoft.com/office/drawing/2014/main" id="{FC441543-E606-4F0F-8CE0-F0D84A0D719B}"/>
            </a:ext>
          </a:extLst>
        </xdr:cNvPr>
        <xdr:cNvSpPr txBox="1"/>
      </xdr:nvSpPr>
      <xdr:spPr>
        <a:xfrm>
          <a:off x="0" y="368300"/>
          <a:ext cx="8032750" cy="425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lnSpc>
              <a:spcPct val="107000"/>
            </a:lnSpc>
            <a:spcBef>
              <a:spcPts val="0"/>
            </a:spcBef>
            <a:spcAft>
              <a:spcPts val="800"/>
            </a:spcAft>
          </a:pPr>
          <a:r>
            <a:rPr lang="en-US" sz="1200" b="1">
              <a:solidFill>
                <a:sysClr val="windowText" lastClr="000000"/>
              </a:solidFill>
              <a:effectLst/>
              <a:latin typeface="Times New Roman" panose="02020603050405020304" pitchFamily="18" charset="0"/>
              <a:ea typeface="Calibri" panose="020F0502020204030204" pitchFamily="34" charset="0"/>
              <a:cs typeface="Times New Roman" panose="02020603050405020304" pitchFamily="18" charset="0"/>
            </a:rPr>
            <a:t>Overview:</a:t>
          </a:r>
          <a:r>
            <a:rPr lang="en-US" sz="1200" baseline="0">
              <a:solidFill>
                <a:sysClr val="windowText" lastClr="000000"/>
              </a:solidFill>
              <a:effectLst/>
              <a:latin typeface="Times New Roman" panose="02020603050405020304" pitchFamily="18" charset="0"/>
              <a:ea typeface="Calibri" panose="020F0502020204030204" pitchFamily="34" charset="0"/>
              <a:cs typeface="Times New Roman" panose="02020603050405020304" pitchFamily="18" charset="0"/>
            </a:rPr>
            <a:t> This calculator is designed to estimate the WAIRE Points Compliance Obligation and compliance options for South Coast AQMD Rule 2305. </a:t>
          </a:r>
          <a:r>
            <a:rPr lang="en-US" sz="1200">
              <a:solidFill>
                <a:sysClr val="windowText" lastClr="000000"/>
              </a:solidFill>
              <a:effectLst/>
              <a:latin typeface="Times New Roman" panose="02020603050405020304" pitchFamily="18" charset="0"/>
              <a:ea typeface="Calibri" panose="020F0502020204030204" pitchFamily="34" charset="0"/>
              <a:cs typeface="Times New Roman" panose="02020603050405020304" pitchFamily="18" charset="0"/>
            </a:rPr>
            <a:t>The number of WAIRE Points each operator would need to earn each year is based on the number of Weighted Annual Truck Trips (WATTs) to their warehouse. Truck trips are counted as one-way trips, with tractors and tractor-trailers multiplied by 2.5.  A truck entering a site and then leaving the site (i.e., total of two trips) is counted as one visit.</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80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On the "Calculator" tab:</a:t>
          </a:r>
          <a:endParaRPr lang="en-US" sz="1200" b="1">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User should input the square footage of the facility in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C2</a:t>
          </a:r>
          <a:r>
            <a:rPr lang="en-US" sz="1200">
              <a:effectLst/>
              <a:latin typeface="Times New Roman" panose="02020603050405020304" pitchFamily="18" charset="0"/>
              <a:ea typeface="Calibri" panose="020F0502020204030204" pitchFamily="34" charset="0"/>
              <a:cs typeface="Times New Roman" panose="02020603050405020304" pitchFamily="18" charset="0"/>
            </a:rPr>
            <a:t>. Then from the table on the right find the applicable stringency based on the warehouse size and compliance year. The stringency value should be entered in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C3</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Number of Class 8 and Class 2b-7 truck visits should be entered in Cells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C4</a:t>
          </a:r>
          <a:r>
            <a:rPr lang="en-US" sz="1200">
              <a:effectLst/>
              <a:latin typeface="Times New Roman" panose="02020603050405020304" pitchFamily="18" charset="0"/>
              <a:ea typeface="Calibri" panose="020F0502020204030204" pitchFamily="34" charset="0"/>
              <a:cs typeface="Times New Roman" panose="02020603050405020304" pitchFamily="18" charset="0"/>
            </a:rPr>
            <a:t> and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C5</a:t>
          </a:r>
          <a:r>
            <a:rPr lang="en-US" sz="1200">
              <a:effectLst/>
              <a:latin typeface="Times New Roman" panose="02020603050405020304" pitchFamily="18" charset="0"/>
              <a:ea typeface="Calibri" panose="020F0502020204030204" pitchFamily="34" charset="0"/>
              <a:cs typeface="Times New Roman" panose="02020603050405020304" pitchFamily="18" charset="0"/>
            </a:rPr>
            <a:t>. User can select the units of the visits to be as "Daily Visits" or "Annual Visits" from the drop-down menu in cells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D4</a:t>
          </a:r>
          <a:r>
            <a:rPr lang="en-US" sz="1200">
              <a:effectLst/>
              <a:latin typeface="Times New Roman" panose="02020603050405020304" pitchFamily="18" charset="0"/>
              <a:ea typeface="Calibri" panose="020F0502020204030204" pitchFamily="34" charset="0"/>
              <a:cs typeface="Times New Roman" panose="02020603050405020304" pitchFamily="18" charset="0"/>
            </a:rPr>
            <a:t> and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D5</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Then the Calculator returns the WAIRE Points Compliance Obligation (WPCO) in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C21</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User may select different options from the Menu and input their level of implementation in front that menu item in column H. The Calculator would calculate the number of points earned through that action in column I.</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The Calculator compares the total number of points earned through the menu options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I29</a:t>
          </a:r>
          <a:r>
            <a:rPr lang="en-US" sz="1200">
              <a:effectLst/>
              <a:latin typeface="Times New Roman" panose="02020603050405020304" pitchFamily="18" charset="0"/>
              <a:ea typeface="Calibri" panose="020F0502020204030204" pitchFamily="34" charset="0"/>
              <a:cs typeface="Times New Roman" panose="02020603050405020304" pitchFamily="18" charset="0"/>
            </a:rPr>
            <a:t>) with WPCO value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C21</a:t>
          </a:r>
          <a:r>
            <a:rPr lang="en-US" sz="1200">
              <a:effectLst/>
              <a:latin typeface="Times New Roman" panose="02020603050405020304" pitchFamily="18" charset="0"/>
              <a:ea typeface="Calibri" panose="020F0502020204030204" pitchFamily="34" charset="0"/>
              <a:cs typeface="Times New Roman" panose="02020603050405020304" pitchFamily="18" charset="0"/>
            </a:rPr>
            <a:t>). If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I29</a:t>
          </a:r>
          <a:r>
            <a:rPr lang="en-US" sz="1200">
              <a:effectLst/>
              <a:latin typeface="Times New Roman" panose="02020603050405020304" pitchFamily="18" charset="0"/>
              <a:ea typeface="Calibri" panose="020F0502020204030204" pitchFamily="34" charset="0"/>
              <a:cs typeface="Times New Roman" panose="02020603050405020304" pitchFamily="18" charset="0"/>
            </a:rPr>
            <a:t> was less than WPCO then additional number of points are required to meet the WPCO requirement. If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I29</a:t>
          </a:r>
          <a:r>
            <a:rPr lang="en-US" sz="1200">
              <a:effectLst/>
              <a:latin typeface="Times New Roman" panose="02020603050405020304" pitchFamily="18" charset="0"/>
              <a:ea typeface="Calibri" panose="020F0502020204030204" pitchFamily="34" charset="0"/>
              <a:cs typeface="Times New Roman" panose="02020603050405020304" pitchFamily="18" charset="0"/>
            </a:rPr>
            <a:t> was greater than WPCO the excess number of points earned can be banked</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and used in the next three compliance years (for further details, please refer to the rule document or staff report)</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p>
        <a:p>
          <a:pPr marL="0" marR="0" algn="just">
            <a:lnSpc>
              <a:spcPct val="107000"/>
            </a:lnSpc>
            <a:spcBef>
              <a:spcPts val="0"/>
            </a:spcBef>
            <a:spcAft>
              <a:spcPts val="800"/>
            </a:spcAft>
          </a:pP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800"/>
            </a:spcAft>
          </a:pP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6350</xdr:colOff>
      <xdr:row>0</xdr:row>
      <xdr:rowOff>19050</xdr:rowOff>
    </xdr:from>
    <xdr:to>
      <xdr:col>13</xdr:col>
      <xdr:colOff>12700</xdr:colOff>
      <xdr:row>1</xdr:row>
      <xdr:rowOff>158750</xdr:rowOff>
    </xdr:to>
    <xdr:sp macro="" textlink="">
      <xdr:nvSpPr>
        <xdr:cNvPr id="3" name="TextBox 2">
          <a:extLst>
            <a:ext uri="{FF2B5EF4-FFF2-40B4-BE49-F238E27FC236}">
              <a16:creationId xmlns:a16="http://schemas.microsoft.com/office/drawing/2014/main" id="{BC3A0F35-D672-4E1B-A6C6-59F6B994B0C6}"/>
            </a:ext>
          </a:extLst>
        </xdr:cNvPr>
        <xdr:cNvSpPr txBox="1"/>
      </xdr:nvSpPr>
      <xdr:spPr>
        <a:xfrm>
          <a:off x="6350" y="19050"/>
          <a:ext cx="80137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Times New Roman" panose="02020603050405020304" pitchFamily="18" charset="0"/>
              <a:cs typeface="Times New Roman" panose="02020603050405020304" pitchFamily="18" charset="0"/>
            </a:rPr>
            <a:t>South</a:t>
          </a:r>
          <a:r>
            <a:rPr lang="en-US" sz="1200" b="1" baseline="0">
              <a:latin typeface="Times New Roman" panose="02020603050405020304" pitchFamily="18" charset="0"/>
              <a:cs typeface="Times New Roman" panose="02020603050405020304" pitchFamily="18" charset="0"/>
            </a:rPr>
            <a:t> Coast Air Quality Management District WAIRE User Calculator for Rule 2305 Compliance </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22</xdr:row>
      <xdr:rowOff>0</xdr:rowOff>
    </xdr:from>
    <xdr:to>
      <xdr:col>3</xdr:col>
      <xdr:colOff>304800</xdr:colOff>
      <xdr:row>23</xdr:row>
      <xdr:rowOff>123825</xdr:rowOff>
    </xdr:to>
    <xdr:sp macro="" textlink="">
      <xdr:nvSpPr>
        <xdr:cNvPr id="1027" name="AutoShape 3" descr="✔">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3676650" y="464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123825</xdr:rowOff>
    </xdr:to>
    <xdr:sp macro="" textlink="">
      <xdr:nvSpPr>
        <xdr:cNvPr id="1028" name="AutoShape 4" descr="✔">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3676650" y="464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D3FA-978F-4641-A80F-7BE1A0986216}">
  <dimension ref="A1:M35"/>
  <sheetViews>
    <sheetView topLeftCell="A13" workbookViewId="0">
      <selection activeCell="A34" sqref="A34:B35"/>
    </sheetView>
  </sheetViews>
  <sheetFormatPr defaultColWidth="8.7109375" defaultRowHeight="15"/>
  <cols>
    <col min="1" max="2" width="8.7109375" style="112"/>
    <col min="3" max="3" width="9.140625" style="112" bestFit="1" customWidth="1"/>
    <col min="4" max="4" width="9.42578125" style="112" customWidth="1"/>
    <col min="5" max="16384" width="8.7109375" style="112"/>
  </cols>
  <sheetData>
    <row r="1" spans="1:9">
      <c r="A1" s="123"/>
      <c r="B1" s="124"/>
      <c r="C1" s="124"/>
      <c r="D1" s="124"/>
      <c r="E1" s="124"/>
      <c r="F1" s="124"/>
      <c r="G1" s="124"/>
      <c r="H1" s="124"/>
      <c r="I1" s="124"/>
    </row>
    <row r="2" spans="1:9">
      <c r="A2" s="113"/>
      <c r="B2" s="114"/>
      <c r="C2" s="114"/>
      <c r="D2" s="115"/>
    </row>
    <row r="3" spans="1:9">
      <c r="A3" s="113"/>
      <c r="B3" s="114"/>
      <c r="C3" s="114"/>
      <c r="D3" s="114"/>
    </row>
    <row r="4" spans="1:9">
      <c r="B4" s="116"/>
      <c r="C4" s="114"/>
      <c r="D4" s="114"/>
    </row>
    <row r="5" spans="1:9">
      <c r="B5" s="116"/>
      <c r="C5" s="117"/>
      <c r="D5" s="114"/>
    </row>
    <row r="6" spans="1:9">
      <c r="B6" s="116"/>
      <c r="C6" s="117"/>
      <c r="D6" s="114"/>
    </row>
    <row r="7" spans="1:9">
      <c r="B7" s="116"/>
      <c r="C7" s="117"/>
      <c r="D7" s="114"/>
    </row>
    <row r="8" spans="1:9">
      <c r="B8" s="116"/>
      <c r="C8" s="117"/>
      <c r="D8" s="114"/>
    </row>
    <row r="9" spans="1:9">
      <c r="B9" s="116"/>
      <c r="C9" s="117"/>
      <c r="D9" s="114"/>
    </row>
    <row r="10" spans="1:9">
      <c r="B10" s="116"/>
      <c r="C10" s="117"/>
      <c r="D10" s="114"/>
    </row>
    <row r="11" spans="1:9">
      <c r="D11" s="118"/>
    </row>
    <row r="12" spans="1:9">
      <c r="A12" s="114"/>
      <c r="B12" s="119"/>
      <c r="C12" s="120"/>
    </row>
    <row r="13" spans="1:9">
      <c r="A13" s="114"/>
      <c r="B13" s="119"/>
      <c r="C13" s="121"/>
    </row>
    <row r="14" spans="1:9">
      <c r="A14" s="114"/>
      <c r="B14" s="119"/>
      <c r="C14" s="120"/>
    </row>
    <row r="15" spans="1:9">
      <c r="A15" s="114"/>
      <c r="B15" s="119"/>
      <c r="C15" s="120"/>
    </row>
    <row r="16" spans="1:9">
      <c r="A16" s="114"/>
      <c r="B16" s="119"/>
      <c r="C16" s="120"/>
    </row>
    <row r="17" spans="1:13">
      <c r="A17" s="114"/>
      <c r="B17" s="119"/>
      <c r="C17" s="120"/>
    </row>
    <row r="19" spans="1:13">
      <c r="A19" s="122" t="s">
        <v>131</v>
      </c>
    </row>
    <row r="20" spans="1:13">
      <c r="A20" s="122" t="s">
        <v>132</v>
      </c>
    </row>
    <row r="32" spans="1:13">
      <c r="A32" s="125" t="s">
        <v>158</v>
      </c>
      <c r="B32" s="126"/>
      <c r="C32" s="126"/>
      <c r="D32" s="126"/>
      <c r="E32" s="126"/>
      <c r="F32" s="126"/>
      <c r="G32" s="126"/>
      <c r="H32" s="126"/>
      <c r="I32" s="126"/>
      <c r="J32" s="126"/>
      <c r="K32" s="126"/>
      <c r="L32" s="126"/>
      <c r="M32" s="126"/>
    </row>
    <row r="33" spans="1:13">
      <c r="A33" s="127" t="s">
        <v>159</v>
      </c>
      <c r="B33" s="127"/>
      <c r="C33" s="128" t="s">
        <v>127</v>
      </c>
      <c r="D33" s="128"/>
      <c r="E33" s="128"/>
      <c r="F33" s="128"/>
      <c r="G33" s="128"/>
      <c r="H33" s="128"/>
      <c r="I33" s="128"/>
      <c r="J33" s="128"/>
      <c r="K33" s="128"/>
      <c r="L33" s="128"/>
      <c r="M33" s="128"/>
    </row>
    <row r="34" spans="1:13" ht="30.95" customHeight="1">
      <c r="A34" s="129" t="s">
        <v>161</v>
      </c>
      <c r="B34" s="130"/>
      <c r="C34" s="131" t="s">
        <v>160</v>
      </c>
      <c r="D34" s="131"/>
      <c r="E34" s="131"/>
      <c r="F34" s="131"/>
      <c r="G34" s="131"/>
      <c r="H34" s="131"/>
      <c r="I34" s="131"/>
      <c r="J34" s="131"/>
      <c r="K34" s="131"/>
      <c r="L34" s="131"/>
      <c r="M34" s="131"/>
    </row>
    <row r="35" spans="1:13" ht="49.5" customHeight="1">
      <c r="A35" s="130"/>
      <c r="B35" s="130"/>
      <c r="C35" s="131"/>
      <c r="D35" s="131"/>
      <c r="E35" s="131"/>
      <c r="F35" s="131"/>
      <c r="G35" s="131"/>
      <c r="H35" s="131"/>
      <c r="I35" s="131"/>
      <c r="J35" s="131"/>
      <c r="K35" s="131"/>
      <c r="L35" s="131"/>
      <c r="M35" s="131"/>
    </row>
  </sheetData>
  <sortState ref="A4:C10">
    <sortCondition ref="B5:B10"/>
  </sortState>
  <mergeCells count="6">
    <mergeCell ref="A1:I1"/>
    <mergeCell ref="A32:M32"/>
    <mergeCell ref="A33:B33"/>
    <mergeCell ref="C33:M33"/>
    <mergeCell ref="A34:B35"/>
    <mergeCell ref="C34:M35"/>
  </mergeCells>
  <phoneticPr fontId="15"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F127-CEB8-47AA-968F-47C8BA020BFF}">
  <sheetPr>
    <tabColor theme="9" tint="-0.249977111117893"/>
  </sheetPr>
  <dimension ref="B1:O34"/>
  <sheetViews>
    <sheetView tabSelected="1" zoomScale="90" zoomScaleNormal="90" workbookViewId="0">
      <selection activeCell="D31" sqref="D31"/>
    </sheetView>
  </sheetViews>
  <sheetFormatPr defaultColWidth="9.140625" defaultRowHeight="15"/>
  <cols>
    <col min="1" max="1" width="9.140625" style="8"/>
    <col min="2" max="2" width="37.140625" style="8" customWidth="1"/>
    <col min="3" max="3" width="10.42578125" style="46" customWidth="1"/>
    <col min="4" max="4" width="25.7109375" style="8" customWidth="1"/>
    <col min="5" max="5" width="9.140625" style="8"/>
    <col min="6" max="6" width="29.42578125" style="8" bestFit="1" customWidth="1"/>
    <col min="7" max="7" width="31.85546875" style="12" bestFit="1" customWidth="1"/>
    <col min="8" max="8" width="11.140625" style="8" customWidth="1"/>
    <col min="9" max="10" width="9.140625" style="8"/>
    <col min="11" max="14" width="27.5703125" style="8" customWidth="1"/>
    <col min="15" max="16384" width="9.140625" style="8"/>
  </cols>
  <sheetData>
    <row r="1" spans="2:15" ht="30.75" thickBot="1">
      <c r="B1" s="141" t="s">
        <v>96</v>
      </c>
      <c r="C1" s="142"/>
      <c r="D1" s="143"/>
      <c r="F1" s="9" t="s">
        <v>95</v>
      </c>
      <c r="G1" s="10" t="s">
        <v>78</v>
      </c>
      <c r="H1" s="95" t="s">
        <v>70</v>
      </c>
      <c r="I1" s="11" t="s">
        <v>71</v>
      </c>
      <c r="K1" s="136" t="s">
        <v>137</v>
      </c>
      <c r="L1" s="138" t="s">
        <v>138</v>
      </c>
      <c r="M1" s="139"/>
      <c r="N1" s="140"/>
    </row>
    <row r="2" spans="2:15" ht="18" thickBot="1">
      <c r="B2" s="97" t="s">
        <v>128</v>
      </c>
      <c r="C2" s="101">
        <v>2.5000000000000001E-3</v>
      </c>
      <c r="D2" s="66"/>
      <c r="F2" s="48" t="s">
        <v>1</v>
      </c>
      <c r="G2" s="49" t="s">
        <v>79</v>
      </c>
      <c r="H2" s="54"/>
      <c r="I2" s="57">
        <f>ROUNDUP(VLOOKUP(F2,Data!$A$2:$C$28,3,FALSE)*H2/(VLOOKUP(F2,Data!$A$2:$C$28,2,FALSE)),0)</f>
        <v>0</v>
      </c>
      <c r="K2" s="137"/>
      <c r="L2" s="96" t="s">
        <v>139</v>
      </c>
      <c r="M2" s="96" t="s">
        <v>140</v>
      </c>
      <c r="N2" s="96" t="s">
        <v>141</v>
      </c>
    </row>
    <row r="3" spans="2:15" ht="15.75" thickBot="1">
      <c r="B3" s="98" t="s">
        <v>99</v>
      </c>
      <c r="C3" s="102">
        <v>100000</v>
      </c>
      <c r="D3" s="66"/>
      <c r="F3" s="48" t="s">
        <v>72</v>
      </c>
      <c r="G3" s="49" t="s">
        <v>80</v>
      </c>
      <c r="H3" s="55"/>
      <c r="I3" s="57">
        <f>ROUNDUP(VLOOKUP(F3,Data!$A$2:$C$28,3,FALSE)*H3/(VLOOKUP(F3,Data!$A$2:$C$28,2,FALSE)),0)</f>
        <v>0</v>
      </c>
      <c r="K3" s="93">
        <v>2022</v>
      </c>
      <c r="L3" s="94">
        <v>8.25E-4</v>
      </c>
      <c r="M3" s="94" t="s">
        <v>142</v>
      </c>
      <c r="N3" s="94" t="s">
        <v>142</v>
      </c>
    </row>
    <row r="4" spans="2:15" ht="18" thickBot="1">
      <c r="B4" s="99" t="s">
        <v>133</v>
      </c>
      <c r="C4" s="103"/>
      <c r="D4" s="100" t="s">
        <v>131</v>
      </c>
      <c r="F4" s="48" t="s">
        <v>82</v>
      </c>
      <c r="G4" s="49" t="s">
        <v>81</v>
      </c>
      <c r="H4" s="55"/>
      <c r="I4" s="57">
        <f>ROUNDUP(VLOOKUP(F4,Data!$A$2:$C$28,3,FALSE)*H4/(VLOOKUP(F4,Data!$A$2:$C$28,2,FALSE)),0)</f>
        <v>0</v>
      </c>
      <c r="K4" s="93">
        <v>2023</v>
      </c>
      <c r="L4" s="94">
        <v>1.6750000000000001E-3</v>
      </c>
      <c r="M4" s="94">
        <v>8.25E-4</v>
      </c>
      <c r="N4" s="94" t="s">
        <v>142</v>
      </c>
    </row>
    <row r="5" spans="2:15" ht="18" thickBot="1">
      <c r="B5" s="99" t="s">
        <v>134</v>
      </c>
      <c r="C5" s="104"/>
      <c r="D5" s="100" t="s">
        <v>131</v>
      </c>
      <c r="F5" s="48" t="s">
        <v>73</v>
      </c>
      <c r="G5" s="49" t="s">
        <v>80</v>
      </c>
      <c r="H5" s="55"/>
      <c r="I5" s="57">
        <f>ROUNDUP(VLOOKUP(F5,Data!$A$2:$C$28,3,FALSE)*H5/(VLOOKUP(F5,Data!$A$2:$C$28,2,FALSE)),0)</f>
        <v>0</v>
      </c>
      <c r="K5" s="93">
        <v>2024</v>
      </c>
      <c r="L5" s="94">
        <v>2.5000000000000001E-3</v>
      </c>
      <c r="M5" s="94">
        <v>1.6750000000000001E-3</v>
      </c>
      <c r="N5" s="94">
        <v>8.25E-4</v>
      </c>
    </row>
    <row r="6" spans="2:15" ht="15" customHeight="1" thickBot="1">
      <c r="B6" s="147" t="s">
        <v>154</v>
      </c>
      <c r="C6" s="148"/>
      <c r="D6" s="66"/>
      <c r="F6" s="48" t="s">
        <v>83</v>
      </c>
      <c r="G6" s="49" t="s">
        <v>81</v>
      </c>
      <c r="H6" s="55"/>
      <c r="I6" s="57">
        <f>ROUNDUP(VLOOKUP(F6,Data!$A$2:$C$28,3,FALSE)*H6/(VLOOKUP(F6,Data!$A$2:$C$28,2,FALSE)),0)</f>
        <v>0</v>
      </c>
      <c r="K6" s="93">
        <v>2025</v>
      </c>
      <c r="L6" s="94">
        <v>2.5000000000000001E-3</v>
      </c>
      <c r="M6" s="94">
        <v>2.5000000000000001E-3</v>
      </c>
      <c r="N6" s="94">
        <v>1.6750000000000001E-3</v>
      </c>
    </row>
    <row r="7" spans="2:15" ht="15.75" thickBot="1">
      <c r="B7" s="147"/>
      <c r="C7" s="148"/>
      <c r="D7" s="106"/>
      <c r="F7" s="52" t="s">
        <v>74</v>
      </c>
      <c r="G7" s="49" t="s">
        <v>80</v>
      </c>
      <c r="H7" s="55"/>
      <c r="I7" s="57">
        <f>ROUNDUP(VLOOKUP(F7,Data!$A$2:$C$28,3,FALSE)*H7/(VLOOKUP(F7,Data!$A$2:$C$28,2,FALSE)),0)</f>
        <v>0</v>
      </c>
      <c r="K7" s="93" t="s">
        <v>143</v>
      </c>
      <c r="L7" s="94">
        <v>2.5000000000000001E-3</v>
      </c>
      <c r="M7" s="94">
        <v>2.5000000000000001E-3</v>
      </c>
      <c r="N7" s="94">
        <v>2.5000000000000001E-3</v>
      </c>
    </row>
    <row r="8" spans="2:15" ht="14.45" customHeight="1">
      <c r="B8" s="149" t="s">
        <v>153</v>
      </c>
      <c r="C8" s="150"/>
      <c r="D8" s="106"/>
      <c r="F8" s="52" t="s">
        <v>84</v>
      </c>
      <c r="G8" s="49" t="s">
        <v>81</v>
      </c>
      <c r="H8" s="55"/>
      <c r="I8" s="57">
        <f>ROUNDUP(VLOOKUP(F8,Data!$A$2:$C$28,3,FALSE)*H8/(VLOOKUP(F8,Data!$A$2:$C$28,2,FALSE)),0)</f>
        <v>0</v>
      </c>
    </row>
    <row r="9" spans="2:15">
      <c r="B9" s="149"/>
      <c r="C9" s="150"/>
      <c r="D9" s="107"/>
      <c r="F9" s="52" t="s">
        <v>75</v>
      </c>
      <c r="G9" s="49" t="s">
        <v>80</v>
      </c>
      <c r="H9" s="55"/>
      <c r="I9" s="57">
        <f>ROUNDUP(VLOOKUP(F9,Data!$A$2:$C$28,3,FALSE)*H9/(VLOOKUP(F9,Data!$A$2:$C$28,2,FALSE)),0)</f>
        <v>0</v>
      </c>
    </row>
    <row r="10" spans="2:15" ht="15.75" thickBot="1">
      <c r="B10" s="151"/>
      <c r="C10" s="152"/>
      <c r="D10" s="108"/>
      <c r="F10" s="52" t="s">
        <v>85</v>
      </c>
      <c r="G10" s="49" t="s">
        <v>81</v>
      </c>
      <c r="H10" s="55"/>
      <c r="I10" s="57">
        <f>ROUNDUP(VLOOKUP(F10,Data!$A$2:$C$28,3,FALSE)*H10/(VLOOKUP(F10,Data!$A$2:$C$28,2,FALSE)),0)</f>
        <v>0</v>
      </c>
    </row>
    <row r="11" spans="2:15" s="13" customFormat="1" ht="15.75" thickBot="1">
      <c r="B11" s="91"/>
      <c r="C11" s="92"/>
      <c r="F11" s="52" t="s">
        <v>108</v>
      </c>
      <c r="G11" s="49" t="s">
        <v>80</v>
      </c>
      <c r="H11" s="55"/>
      <c r="I11" s="57">
        <f>ROUNDUP(VLOOKUP(F11,Data!$A$2:$C$28,3,FALSE)*H11/(VLOOKUP(F11,Data!$A$2:$C$28,2,FALSE)),0)</f>
        <v>0</v>
      </c>
      <c r="K11" s="81"/>
      <c r="L11" s="81"/>
      <c r="M11" s="81"/>
      <c r="N11" s="81"/>
      <c r="O11" s="81"/>
    </row>
    <row r="12" spans="2:15">
      <c r="B12" s="64" t="s">
        <v>122</v>
      </c>
      <c r="C12" s="65">
        <f>IF(AND($D$4="Daily Visits",$D$5="Daily Visits"),365*2*SUM(C5,C4*2.5),IF(AND($D$4="Annual Visits",$D$5="Annual Visits"),2*SUM(C5,C4*2.5),IF(AND($D$4="Daily Visits",$D$5="Annual Visits"),2*(365*2.5*C4+C5),2*(2.5*C4+C5*365))))</f>
        <v>0</v>
      </c>
      <c r="D12" s="12"/>
      <c r="F12" s="52" t="s">
        <v>109</v>
      </c>
      <c r="G12" s="49" t="s">
        <v>81</v>
      </c>
      <c r="H12" s="55"/>
      <c r="I12" s="57">
        <f>ROUNDUP(VLOOKUP(F12,Data!$A$2:$C$28,3,FALSE)*H12/(VLOOKUP(F12,Data!$A$2:$C$28,2,FALSE)),0)</f>
        <v>0</v>
      </c>
      <c r="K12" s="82"/>
      <c r="L12" s="82"/>
      <c r="M12" s="82"/>
      <c r="N12" s="82"/>
      <c r="O12" s="82"/>
    </row>
    <row r="13" spans="2:15" ht="16.5">
      <c r="B13" s="83" t="s">
        <v>129</v>
      </c>
      <c r="C13" s="84">
        <f>IF(C7=TRUE,(C3/1000)*0.5*IF(Calculator!C9=TRUE,Data!H4,IF(Calculator!C3&gt;=Data!F2,Data!H2,IF(Data!F2&gt;=Data!F3,Data!H3))),IF(D4="Daily Visits",C4,C4/365))</f>
        <v>0</v>
      </c>
      <c r="D13" s="12"/>
      <c r="E13" s="63"/>
      <c r="F13" s="52" t="s">
        <v>76</v>
      </c>
      <c r="G13" s="49" t="s">
        <v>86</v>
      </c>
      <c r="H13" s="55"/>
      <c r="I13" s="57">
        <f>ROUNDUP(VLOOKUP(F13,Data!$A$2:$C$28,3,FALSE)*H13/(VLOOKUP(F13,Data!$A$2:$C$28,2,FALSE)),0)</f>
        <v>0</v>
      </c>
      <c r="K13" s="82"/>
      <c r="L13" s="82"/>
      <c r="M13" s="82"/>
      <c r="N13" s="82"/>
      <c r="O13" s="82"/>
    </row>
    <row r="14" spans="2:15">
      <c r="B14" s="83" t="s">
        <v>135</v>
      </c>
      <c r="C14" s="84">
        <f>IF(C7=TRUE,(C3/1000)*0.5*IF(Calculator!C9=TRUE,Data!G4,IF(Calculator!C3&gt;=Data!F2,Data!G2,IF(Calculator!C3&gt;=Data!F3,Data!G3))),IF(D5="Daily Visits",C5,C5/365))</f>
        <v>0</v>
      </c>
      <c r="D14" s="12"/>
      <c r="F14" s="52" t="s">
        <v>2</v>
      </c>
      <c r="G14" s="49" t="s">
        <v>87</v>
      </c>
      <c r="H14" s="55"/>
      <c r="I14" s="57">
        <f>ROUNDUP(VLOOKUP(F14,Data!$A$2:$C$28,3,FALSE)*H14/(VLOOKUP(F14,Data!$A$2:$C$28,2,FALSE)),0)</f>
        <v>0</v>
      </c>
      <c r="K14" s="82"/>
      <c r="L14" s="82"/>
      <c r="M14" s="82"/>
      <c r="N14" s="82"/>
      <c r="O14" s="82"/>
    </row>
    <row r="15" spans="2:15">
      <c r="B15" s="83" t="s">
        <v>130</v>
      </c>
      <c r="C15" s="84">
        <f>C13*2</f>
        <v>0</v>
      </c>
      <c r="D15" s="12"/>
      <c r="F15" s="53" t="s">
        <v>144</v>
      </c>
      <c r="G15" s="49" t="s">
        <v>88</v>
      </c>
      <c r="H15" s="55"/>
      <c r="I15" s="57">
        <f>ROUNDUP(VLOOKUP(F15,Data!$A$2:$C$28,3,FALSE)*H15/(VLOOKUP(F15,Data!$A$2:$C$28,2,FALSE)),0)</f>
        <v>0</v>
      </c>
      <c r="K15" s="82"/>
      <c r="L15" s="82"/>
      <c r="M15" s="82"/>
      <c r="N15" s="82"/>
      <c r="O15" s="82"/>
    </row>
    <row r="16" spans="2:15" ht="15.75" thickBot="1">
      <c r="B16" s="85" t="s">
        <v>136</v>
      </c>
      <c r="C16" s="86">
        <f>C14*2</f>
        <v>0</v>
      </c>
      <c r="D16" s="12"/>
      <c r="F16" s="53" t="s">
        <v>145</v>
      </c>
      <c r="G16" s="49" t="s">
        <v>88</v>
      </c>
      <c r="H16" s="55"/>
      <c r="I16" s="57">
        <f>ROUNDUP(VLOOKUP(F16,Data!$A$2:$C$28,3,FALSE)*H16/(VLOOKUP(F16,Data!$A$2:$C$28,2,FALSE)),0)</f>
        <v>0</v>
      </c>
    </row>
    <row r="17" spans="2:9">
      <c r="B17" s="78" t="s">
        <v>155</v>
      </c>
      <c r="C17" s="80"/>
      <c r="D17" s="110"/>
      <c r="F17" s="53" t="s">
        <v>146</v>
      </c>
      <c r="G17" s="49" t="s">
        <v>88</v>
      </c>
      <c r="H17" s="55"/>
      <c r="I17" s="57">
        <f>ROUNDUP(VLOOKUP(F17,Data!$A$2:$C$28,3,FALSE)*H17/(VLOOKUP(F17,Data!$A$2:$C$28,2,FALSE)),0)</f>
        <v>0</v>
      </c>
    </row>
    <row r="18" spans="2:9">
      <c r="B18" s="79" t="s">
        <v>156</v>
      </c>
      <c r="C18" s="80"/>
      <c r="D18" s="111"/>
      <c r="F18" s="53" t="s">
        <v>147</v>
      </c>
      <c r="G18" s="49" t="s">
        <v>88</v>
      </c>
      <c r="H18" s="55"/>
      <c r="I18" s="57">
        <f>ROUNDUP(VLOOKUP(F18,Data!$A$2:$C$28,3,FALSE)*H18/(VLOOKUP(F18,Data!$A$2:$C$28,2,FALSE)),0)</f>
        <v>0</v>
      </c>
    </row>
    <row r="19" spans="2:9">
      <c r="B19" s="79" t="s">
        <v>123</v>
      </c>
      <c r="D19" s="111"/>
      <c r="F19" s="53" t="s">
        <v>110</v>
      </c>
      <c r="G19" s="49" t="s">
        <v>115</v>
      </c>
      <c r="H19" s="55"/>
      <c r="I19" s="57">
        <f>ROUNDUP(VLOOKUP(F19,Data!$A$2:$C$28,3,FALSE)*H19/(VLOOKUP(F19,Data!$A$2:$C$28,2,FALSE)),0)</f>
        <v>0</v>
      </c>
    </row>
    <row r="20" spans="2:9" ht="15.75" thickBot="1">
      <c r="B20" s="109"/>
      <c r="C20" s="110"/>
      <c r="D20" s="111"/>
      <c r="F20" s="52" t="s">
        <v>3</v>
      </c>
      <c r="G20" s="49" t="s">
        <v>89</v>
      </c>
      <c r="H20" s="55"/>
      <c r="I20" s="57">
        <f>ROUNDUP(VLOOKUP(F20,Data!$A$2:$C$28,3,FALSE)*H20/(VLOOKUP(F20,Data!$A$2:$C$28,2,FALSE)),0)</f>
        <v>0</v>
      </c>
    </row>
    <row r="21" spans="2:9">
      <c r="B21" s="58" t="s">
        <v>0</v>
      </c>
      <c r="C21" s="87">
        <f>ROUND(C12*C2,0)</f>
        <v>0</v>
      </c>
      <c r="D21" s="12"/>
      <c r="F21" s="53" t="s">
        <v>111</v>
      </c>
      <c r="G21" s="49" t="s">
        <v>89</v>
      </c>
      <c r="H21" s="55"/>
      <c r="I21" s="57">
        <f>ROUNDUP(VLOOKUP(F21,Data!$A$2:$C$28,3,FALSE)*H21/(VLOOKUP(F21,Data!$A$2:$C$28,2,FALSE)),0)</f>
        <v>0</v>
      </c>
    </row>
    <row r="22" spans="2:9" ht="15.75">
      <c r="B22" s="59" t="str">
        <f>IF(I29&gt;=C21,"In Compliance", "Not In Compliance")</f>
        <v>In Compliance</v>
      </c>
      <c r="C22" s="77" t="str">
        <f>IF(B22="In Compliance",CHAR(252),CHAR(251))</f>
        <v>ü</v>
      </c>
      <c r="D22" s="12"/>
      <c r="F22" s="52" t="s">
        <v>90</v>
      </c>
      <c r="G22" s="49" t="s">
        <v>81</v>
      </c>
      <c r="H22" s="55"/>
      <c r="I22" s="57">
        <f>ROUNDUP(VLOOKUP(F22,Data!$A$2:$C$28,3,FALSE)*H22/(VLOOKUP(F22,Data!$A$2:$C$28,2,FALSE)),0)</f>
        <v>0</v>
      </c>
    </row>
    <row r="23" spans="2:9">
      <c r="B23" s="60" t="s">
        <v>125</v>
      </c>
      <c r="C23" s="88">
        <f>IF($I$29&lt;$C$21,$C$21-$I$29,0)</f>
        <v>0</v>
      </c>
      <c r="D23" s="62"/>
      <c r="F23" s="52" t="s">
        <v>91</v>
      </c>
      <c r="G23" s="49" t="s">
        <v>92</v>
      </c>
      <c r="H23" s="55"/>
      <c r="I23" s="57">
        <f>ROUNDUP(VLOOKUP(F23,Data!$A$2:$C$28,3,FALSE)*H23/(VLOOKUP(F23,Data!$A$2:$C$28,2,FALSE)),0)</f>
        <v>0</v>
      </c>
    </row>
    <row r="24" spans="2:9" ht="15.75" thickBot="1">
      <c r="B24" s="61" t="s">
        <v>126</v>
      </c>
      <c r="C24" s="89">
        <f>IF($I$29&gt;$C$21,$I$29-$C$21,0)</f>
        <v>0</v>
      </c>
      <c r="D24" s="12"/>
      <c r="F24" s="53" t="s">
        <v>113</v>
      </c>
      <c r="G24" s="49" t="s">
        <v>104</v>
      </c>
      <c r="H24" s="55"/>
      <c r="I24" s="57">
        <f>ROUNDUP(VLOOKUP(F24,Data!$A$2:$C$28,3,FALSE)*H24/(VLOOKUP(F24,Data!$A$2:$C$28,2,FALSE)),0)</f>
        <v>0</v>
      </c>
    </row>
    <row r="25" spans="2:9">
      <c r="D25" s="12"/>
      <c r="F25" s="53" t="s">
        <v>114</v>
      </c>
      <c r="G25" s="49" t="s">
        <v>104</v>
      </c>
      <c r="H25" s="55"/>
      <c r="I25" s="57">
        <f>ROUNDUP(VLOOKUP(F25,Data!$A$2:$C$28,3,FALSE)*H25/(VLOOKUP(F25,Data!$A$2:$C$28,2,FALSE)),0)</f>
        <v>0</v>
      </c>
    </row>
    <row r="26" spans="2:9">
      <c r="B26" s="14"/>
      <c r="D26" s="12"/>
      <c r="F26" s="53" t="s">
        <v>112</v>
      </c>
      <c r="G26" s="49" t="s">
        <v>116</v>
      </c>
      <c r="H26" s="55"/>
      <c r="I26" s="57">
        <f>ROUNDUP(VLOOKUP(F26,Data!$A$2:$C$28,3,FALSE)*H26/(VLOOKUP(F26,Data!$A$2:$C$28,2,FALSE)),0)</f>
        <v>0</v>
      </c>
    </row>
    <row r="27" spans="2:9">
      <c r="D27" s="12"/>
      <c r="F27" s="52" t="s">
        <v>77</v>
      </c>
      <c r="G27" s="49" t="s">
        <v>93</v>
      </c>
      <c r="H27" s="55"/>
      <c r="I27" s="57">
        <f>ROUNDUP(VLOOKUP(F27,Data!$A$2:$C$28,3,FALSE)*H27/(VLOOKUP(F27,Data!$A$2:$C$28,2,FALSE)),0)</f>
        <v>0</v>
      </c>
    </row>
    <row r="28" spans="2:9" ht="15.75" thickBot="1">
      <c r="D28" s="46"/>
      <c r="F28" s="52" t="s">
        <v>94</v>
      </c>
      <c r="G28" s="49" t="s">
        <v>64</v>
      </c>
      <c r="H28" s="56"/>
      <c r="I28" s="57">
        <f>ROUNDUP(VLOOKUP(F28,Data!$A$2:$C$28,3,FALSE)*H28/(VLOOKUP(F28,Data!$A$2:$C$28,2,FALSE)),0)</f>
        <v>0</v>
      </c>
    </row>
    <row r="29" spans="2:9" ht="15.75" thickBot="1">
      <c r="B29" s="14"/>
      <c r="D29" s="46"/>
      <c r="F29" s="144" t="s">
        <v>67</v>
      </c>
      <c r="G29" s="145"/>
      <c r="H29" s="146"/>
      <c r="I29" s="90">
        <f>SUM(I2:I28)</f>
        <v>0</v>
      </c>
    </row>
    <row r="30" spans="2:9" s="45" customFormat="1" ht="15.75" thickBot="1">
      <c r="B30" s="14"/>
      <c r="C30" s="46"/>
      <c r="D30" s="12"/>
      <c r="F30" s="51"/>
      <c r="G30" s="51"/>
      <c r="H30" s="51"/>
      <c r="I30" s="51"/>
    </row>
    <row r="31" spans="2:9" s="45" customFormat="1">
      <c r="B31" s="47"/>
      <c r="C31" s="46"/>
      <c r="D31" s="12"/>
      <c r="F31" s="132" t="s">
        <v>124</v>
      </c>
      <c r="G31" s="133"/>
      <c r="H31" s="51"/>
      <c r="I31" s="51"/>
    </row>
    <row r="32" spans="2:9" ht="15.75" thickBot="1">
      <c r="B32" s="47"/>
      <c r="F32" s="134"/>
      <c r="G32" s="135"/>
    </row>
    <row r="33" spans="2:6">
      <c r="B33" s="14"/>
      <c r="F33" s="42" t="s">
        <v>162</v>
      </c>
    </row>
    <row r="34" spans="2:6">
      <c r="B34" s="15"/>
    </row>
  </sheetData>
  <sheetProtection algorithmName="SHA-512" hashValue="j30ExMyl4vlXJPk9l013z0biuje46/L42tux02yPwd/9k1HkYAqHe3+IxZyFTh1s6Qi3cJd9HD+sHBKV/nVV0g==" saltValue="of7FKXwr/XDu0fN2+qKarw==" spinCount="100000" sheet="1" objects="1" scenarios="1" formatCells="0"/>
  <mergeCells count="7">
    <mergeCell ref="F31:G32"/>
    <mergeCell ref="K1:K2"/>
    <mergeCell ref="L1:N1"/>
    <mergeCell ref="B1:D1"/>
    <mergeCell ref="F29:H29"/>
    <mergeCell ref="B6:C7"/>
    <mergeCell ref="B8:C10"/>
  </mergeCells>
  <conditionalFormatting sqref="B22">
    <cfRule type="cellIs" dxfId="1" priority="1" operator="equal">
      <formula>"In Compliance"</formula>
    </cfRule>
    <cfRule type="containsText" dxfId="0" priority="2" operator="containsText" text="Not In Compliance">
      <formula>NOT(ISERROR(SEARCH("Not In Compliance",B22)))</formula>
    </cfRule>
  </conditionalFormatting>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Visits Type" prompt="Please select:" xr:uid="{1C4C7EAB-FDE1-4750-8F65-93273E904055}">
          <x14:formula1>
            <xm:f>'Read me'!$A$19:$A$20</xm:f>
          </x14:formula1>
          <xm:sqref>D4:D5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86E0-BFFC-4DAB-8133-F033E6F875DE}">
  <sheetPr>
    <tabColor theme="4" tint="0.79998168889431442"/>
    <pageSetUpPr fitToPage="1"/>
  </sheetPr>
  <dimension ref="A1:N41"/>
  <sheetViews>
    <sheetView topLeftCell="A19" zoomScale="80" zoomScaleNormal="80" zoomScaleSheetLayoutView="90" workbookViewId="0">
      <selection activeCell="K4" sqref="K4"/>
    </sheetView>
  </sheetViews>
  <sheetFormatPr defaultColWidth="9.140625" defaultRowHeight="15"/>
  <cols>
    <col min="1" max="1" width="33.5703125" style="4" customWidth="1"/>
    <col min="2" max="2" width="18.140625" style="16" customWidth="1"/>
    <col min="3" max="3" width="18.7109375" style="4" customWidth="1"/>
    <col min="4" max="4" width="16" style="4" customWidth="1"/>
    <col min="5" max="5" width="32.140625" style="16" customWidth="1"/>
    <col min="6" max="6" width="20.42578125" style="16" bestFit="1" customWidth="1"/>
    <col min="7" max="7" width="12.7109375" style="16" bestFit="1" customWidth="1"/>
    <col min="8" max="8" width="17" style="16" bestFit="1" customWidth="1"/>
    <col min="9" max="9" width="17.7109375" style="16" bestFit="1" customWidth="1"/>
    <col min="10" max="13" width="10.85546875" style="4" customWidth="1"/>
    <col min="14" max="16384" width="9.140625" style="4"/>
  </cols>
  <sheetData>
    <row r="1" spans="1:14">
      <c r="A1" s="18" t="s">
        <v>157</v>
      </c>
      <c r="B1" s="3"/>
      <c r="C1" s="2"/>
      <c r="D1" s="2"/>
      <c r="E1" s="3"/>
      <c r="F1" s="3"/>
      <c r="G1" s="3"/>
      <c r="H1" s="3"/>
      <c r="I1" s="3"/>
    </row>
    <row r="2" spans="1:14" ht="75">
      <c r="A2" s="17" t="s">
        <v>6</v>
      </c>
      <c r="B2" s="169" t="s">
        <v>7</v>
      </c>
      <c r="C2" s="170"/>
      <c r="D2" s="171"/>
      <c r="E2" s="17" t="s">
        <v>8</v>
      </c>
      <c r="F2" s="17" t="s">
        <v>9</v>
      </c>
      <c r="G2" s="17" t="s">
        <v>10</v>
      </c>
      <c r="H2" s="17" t="s">
        <v>11</v>
      </c>
      <c r="I2" s="17" t="s">
        <v>12</v>
      </c>
      <c r="J2" s="28" t="s">
        <v>13</v>
      </c>
      <c r="K2" s="28" t="s">
        <v>97</v>
      </c>
      <c r="L2" s="28" t="s">
        <v>98</v>
      </c>
      <c r="M2" s="28" t="s">
        <v>14</v>
      </c>
    </row>
    <row r="3" spans="1:14" ht="15" customHeight="1">
      <c r="A3" s="157" t="s">
        <v>15</v>
      </c>
      <c r="B3" s="159" t="s">
        <v>16</v>
      </c>
      <c r="C3" s="23" t="s">
        <v>17</v>
      </c>
      <c r="D3" s="159" t="s">
        <v>18</v>
      </c>
      <c r="E3" s="159" t="s">
        <v>19</v>
      </c>
      <c r="F3" s="159" t="s">
        <v>20</v>
      </c>
      <c r="G3" s="29">
        <v>65000</v>
      </c>
      <c r="H3" s="30">
        <v>0</v>
      </c>
      <c r="I3" s="30">
        <v>0</v>
      </c>
      <c r="J3" s="31">
        <v>3</v>
      </c>
      <c r="K3" s="31">
        <v>52</v>
      </c>
      <c r="L3" s="31">
        <v>0</v>
      </c>
      <c r="M3" s="32">
        <v>55</v>
      </c>
      <c r="N3" s="5"/>
    </row>
    <row r="4" spans="1:14">
      <c r="A4" s="167"/>
      <c r="B4" s="168"/>
      <c r="C4" s="23" t="s">
        <v>21</v>
      </c>
      <c r="D4" s="160"/>
      <c r="E4" s="168"/>
      <c r="F4" s="168"/>
      <c r="G4" s="29">
        <v>30000</v>
      </c>
      <c r="H4" s="30">
        <v>0</v>
      </c>
      <c r="I4" s="30">
        <v>0</v>
      </c>
      <c r="J4" s="31">
        <v>2</v>
      </c>
      <c r="K4" s="31">
        <v>24</v>
      </c>
      <c r="L4" s="31">
        <v>0</v>
      </c>
      <c r="M4" s="32">
        <v>26</v>
      </c>
    </row>
    <row r="5" spans="1:14">
      <c r="A5" s="167"/>
      <c r="B5" s="168"/>
      <c r="C5" s="23" t="s">
        <v>17</v>
      </c>
      <c r="D5" s="159" t="s">
        <v>22</v>
      </c>
      <c r="E5" s="168"/>
      <c r="F5" s="168"/>
      <c r="G5" s="29">
        <v>150000</v>
      </c>
      <c r="H5" s="30">
        <v>0</v>
      </c>
      <c r="I5" s="30">
        <v>0</v>
      </c>
      <c r="J5" s="31">
        <v>6</v>
      </c>
      <c r="K5" s="31">
        <v>120</v>
      </c>
      <c r="L5" s="31">
        <v>0</v>
      </c>
      <c r="M5" s="32">
        <v>126</v>
      </c>
    </row>
    <row r="6" spans="1:14">
      <c r="A6" s="167"/>
      <c r="B6" s="168"/>
      <c r="C6" s="23" t="s">
        <v>21</v>
      </c>
      <c r="D6" s="168"/>
      <c r="E6" s="168"/>
      <c r="F6" s="168"/>
      <c r="G6" s="29">
        <v>80000</v>
      </c>
      <c r="H6" s="30">
        <v>0</v>
      </c>
      <c r="I6" s="30">
        <v>0</v>
      </c>
      <c r="J6" s="31">
        <v>4</v>
      </c>
      <c r="K6" s="31">
        <v>64</v>
      </c>
      <c r="L6" s="31">
        <v>0</v>
      </c>
      <c r="M6" s="32">
        <v>68</v>
      </c>
    </row>
    <row r="7" spans="1:14">
      <c r="A7" s="158"/>
      <c r="B7" s="160"/>
      <c r="C7" s="23" t="s">
        <v>101</v>
      </c>
      <c r="D7" s="160"/>
      <c r="E7" s="160"/>
      <c r="F7" s="160"/>
      <c r="G7" s="29">
        <v>16000</v>
      </c>
      <c r="H7" s="30">
        <v>0</v>
      </c>
      <c r="I7" s="30">
        <v>0</v>
      </c>
      <c r="J7" s="31">
        <v>1</v>
      </c>
      <c r="K7" s="31">
        <v>13</v>
      </c>
      <c r="L7" s="31">
        <v>0</v>
      </c>
      <c r="M7" s="32">
        <v>14</v>
      </c>
    </row>
    <row r="8" spans="1:14">
      <c r="A8" s="157" t="s">
        <v>23</v>
      </c>
      <c r="B8" s="159" t="s">
        <v>120</v>
      </c>
      <c r="C8" s="23" t="s">
        <v>17</v>
      </c>
      <c r="D8" s="159" t="s">
        <v>18</v>
      </c>
      <c r="E8" s="159" t="s">
        <v>121</v>
      </c>
      <c r="F8" s="159" t="s">
        <v>24</v>
      </c>
      <c r="G8" s="29">
        <f>(30.39-29.08)*365*2*4</f>
        <v>3825.2000000000066</v>
      </c>
      <c r="H8" s="34">
        <f>H10*0.9</f>
        <v>162.279</v>
      </c>
      <c r="I8" s="34">
        <f>I10</f>
        <v>1.3140000000000001</v>
      </c>
      <c r="J8" s="31">
        <v>3</v>
      </c>
      <c r="K8" s="31">
        <v>21</v>
      </c>
      <c r="L8" s="31">
        <v>18</v>
      </c>
      <c r="M8" s="32">
        <v>42</v>
      </c>
    </row>
    <row r="9" spans="1:14">
      <c r="A9" s="167"/>
      <c r="B9" s="168"/>
      <c r="C9" s="23" t="s">
        <v>21</v>
      </c>
      <c r="D9" s="160"/>
      <c r="E9" s="168"/>
      <c r="F9" s="168"/>
      <c r="G9" s="29">
        <f>(16.77-12)*365*2*4</f>
        <v>13928.4</v>
      </c>
      <c r="H9" s="34">
        <f>H11*0.9</f>
        <v>26.28</v>
      </c>
      <c r="I9" s="34">
        <f>I11</f>
        <v>0.14600000000000002</v>
      </c>
      <c r="J9" s="31">
        <v>3</v>
      </c>
      <c r="K9" s="31">
        <v>6</v>
      </c>
      <c r="L9" s="31">
        <v>3</v>
      </c>
      <c r="M9" s="32">
        <v>12</v>
      </c>
    </row>
    <row r="10" spans="1:14">
      <c r="A10" s="167"/>
      <c r="B10" s="168"/>
      <c r="C10" s="23" t="s">
        <v>17</v>
      </c>
      <c r="D10" s="159" t="s">
        <v>22</v>
      </c>
      <c r="E10" s="168"/>
      <c r="F10" s="168"/>
      <c r="G10" s="29">
        <f>(53.82-35.19)*365*2*4</f>
        <v>54399.600000000006</v>
      </c>
      <c r="H10" s="34">
        <f>0.247*2*365</f>
        <v>180.31</v>
      </c>
      <c r="I10" s="34">
        <f>0.0018*2*365</f>
        <v>1.3140000000000001</v>
      </c>
      <c r="J10" s="31">
        <v>9</v>
      </c>
      <c r="K10" s="31">
        <v>24</v>
      </c>
      <c r="L10" s="31">
        <v>18</v>
      </c>
      <c r="M10" s="32">
        <v>51</v>
      </c>
    </row>
    <row r="11" spans="1:14">
      <c r="A11" s="167"/>
      <c r="B11" s="168"/>
      <c r="C11" s="23" t="s">
        <v>21</v>
      </c>
      <c r="D11" s="168"/>
      <c r="E11" s="168"/>
      <c r="F11" s="168"/>
      <c r="G11" s="29">
        <f>(12.24-12)*365*2*4</f>
        <v>700.80000000000064</v>
      </c>
      <c r="H11" s="34">
        <f>(365*2)*0.04</f>
        <v>29.2</v>
      </c>
      <c r="I11" s="34">
        <f>0.0002*365*2</f>
        <v>0.14600000000000002</v>
      </c>
      <c r="J11" s="31">
        <v>3</v>
      </c>
      <c r="K11" s="31">
        <v>6</v>
      </c>
      <c r="L11" s="31">
        <v>3</v>
      </c>
      <c r="M11" s="32">
        <v>12</v>
      </c>
    </row>
    <row r="12" spans="1:14">
      <c r="A12" s="158"/>
      <c r="B12" s="160"/>
      <c r="C12" s="23" t="s">
        <v>101</v>
      </c>
      <c r="D12" s="160"/>
      <c r="E12" s="160"/>
      <c r="F12" s="160"/>
      <c r="G12" s="29">
        <f>(10.28-8.31)*365*2*4</f>
        <v>5752.3999999999969</v>
      </c>
      <c r="H12" s="34">
        <f>0.027*2*365</f>
        <v>19.71</v>
      </c>
      <c r="I12" s="34">
        <f>0.00028*2*365</f>
        <v>0.20439999999999997</v>
      </c>
      <c r="J12" s="31">
        <v>3</v>
      </c>
      <c r="K12" s="31">
        <v>3</v>
      </c>
      <c r="L12" s="31">
        <v>3</v>
      </c>
      <c r="M12" s="32">
        <v>9</v>
      </c>
    </row>
    <row r="13" spans="1:14">
      <c r="A13" s="50" t="s">
        <v>26</v>
      </c>
      <c r="B13" s="163" t="s">
        <v>27</v>
      </c>
      <c r="C13" s="164"/>
      <c r="D13" s="24" t="s">
        <v>22</v>
      </c>
      <c r="E13" s="24" t="s">
        <v>28</v>
      </c>
      <c r="F13" s="24" t="s">
        <v>20</v>
      </c>
      <c r="G13" s="29">
        <v>210000</v>
      </c>
      <c r="H13" s="30">
        <v>0</v>
      </c>
      <c r="I13" s="30">
        <v>0</v>
      </c>
      <c r="J13" s="31">
        <v>9</v>
      </c>
      <c r="K13" s="31">
        <v>168</v>
      </c>
      <c r="L13" s="31">
        <v>0</v>
      </c>
      <c r="M13" s="32">
        <v>177</v>
      </c>
    </row>
    <row r="14" spans="1:14">
      <c r="A14" s="50" t="s">
        <v>29</v>
      </c>
      <c r="B14" s="163" t="s">
        <v>30</v>
      </c>
      <c r="C14" s="164"/>
      <c r="D14" s="24" t="s">
        <v>22</v>
      </c>
      <c r="E14" s="24" t="s">
        <v>31</v>
      </c>
      <c r="F14" s="24">
        <v>1000</v>
      </c>
      <c r="G14" s="29">
        <v>6250</v>
      </c>
      <c r="H14" s="33">
        <v>394.2</v>
      </c>
      <c r="I14" s="34">
        <v>19.899999999999999</v>
      </c>
      <c r="J14" s="31">
        <v>3</v>
      </c>
      <c r="K14" s="31">
        <v>48</v>
      </c>
      <c r="L14" s="31">
        <v>240</v>
      </c>
      <c r="M14" s="32">
        <v>291</v>
      </c>
    </row>
    <row r="15" spans="1:14" ht="15" customHeight="1">
      <c r="A15" s="157" t="s">
        <v>32</v>
      </c>
      <c r="B15" s="159" t="s">
        <v>33</v>
      </c>
      <c r="C15" s="105" t="s">
        <v>148</v>
      </c>
      <c r="D15" s="159" t="s">
        <v>34</v>
      </c>
      <c r="E15" s="159" t="s">
        <v>35</v>
      </c>
      <c r="F15" s="159" t="s">
        <v>36</v>
      </c>
      <c r="G15" s="29">
        <v>140000</v>
      </c>
      <c r="H15" s="30">
        <v>0</v>
      </c>
      <c r="I15" s="30">
        <v>0</v>
      </c>
      <c r="J15" s="31">
        <v>6</v>
      </c>
      <c r="K15" s="31">
        <v>112</v>
      </c>
      <c r="L15" s="31">
        <v>0</v>
      </c>
      <c r="M15" s="32">
        <v>118</v>
      </c>
    </row>
    <row r="16" spans="1:14">
      <c r="A16" s="167"/>
      <c r="B16" s="168"/>
      <c r="C16" s="105" t="s">
        <v>149</v>
      </c>
      <c r="D16" s="168"/>
      <c r="E16" s="168"/>
      <c r="F16" s="168"/>
      <c r="G16" s="29">
        <v>60000</v>
      </c>
      <c r="H16" s="30">
        <v>0</v>
      </c>
      <c r="I16" s="30">
        <v>0</v>
      </c>
      <c r="J16" s="31">
        <v>3</v>
      </c>
      <c r="K16" s="31">
        <v>48</v>
      </c>
      <c r="L16" s="31">
        <v>0</v>
      </c>
      <c r="M16" s="32">
        <v>51</v>
      </c>
    </row>
    <row r="17" spans="1:13">
      <c r="A17" s="167"/>
      <c r="B17" s="168"/>
      <c r="C17" s="105" t="s">
        <v>150</v>
      </c>
      <c r="D17" s="168"/>
      <c r="E17" s="168"/>
      <c r="F17" s="168"/>
      <c r="G17" s="29">
        <v>30000</v>
      </c>
      <c r="H17" s="30">
        <v>0</v>
      </c>
      <c r="I17" s="30">
        <v>0</v>
      </c>
      <c r="J17" s="31">
        <v>2</v>
      </c>
      <c r="K17" s="31">
        <v>24</v>
      </c>
      <c r="L17" s="31">
        <v>0</v>
      </c>
      <c r="M17" s="32">
        <v>26</v>
      </c>
    </row>
    <row r="18" spans="1:13">
      <c r="A18" s="167"/>
      <c r="B18" s="168"/>
      <c r="C18" s="105" t="s">
        <v>151</v>
      </c>
      <c r="D18" s="168"/>
      <c r="E18" s="168"/>
      <c r="F18" s="160"/>
      <c r="G18" s="29">
        <v>5000</v>
      </c>
      <c r="H18" s="30">
        <v>0</v>
      </c>
      <c r="I18" s="30">
        <v>0</v>
      </c>
      <c r="J18" s="31">
        <v>1</v>
      </c>
      <c r="K18" s="31">
        <v>4</v>
      </c>
      <c r="L18" s="31">
        <v>0</v>
      </c>
      <c r="M18" s="32">
        <v>5</v>
      </c>
    </row>
    <row r="19" spans="1:13">
      <c r="A19" s="167"/>
      <c r="B19" s="168"/>
      <c r="C19" s="105" t="s">
        <v>37</v>
      </c>
      <c r="D19" s="160"/>
      <c r="E19" s="160"/>
      <c r="F19" s="25" t="s">
        <v>38</v>
      </c>
      <c r="G19" s="29">
        <v>1900</v>
      </c>
      <c r="H19" s="30">
        <v>0</v>
      </c>
      <c r="I19" s="30">
        <v>0</v>
      </c>
      <c r="J19" s="31">
        <v>1</v>
      </c>
      <c r="K19" s="31">
        <v>2</v>
      </c>
      <c r="L19" s="31">
        <v>0</v>
      </c>
      <c r="M19" s="32">
        <v>3</v>
      </c>
    </row>
    <row r="20" spans="1:13" ht="15" customHeight="1">
      <c r="A20" s="167"/>
      <c r="B20" s="168"/>
      <c r="C20" s="105" t="s">
        <v>152</v>
      </c>
      <c r="D20" s="159" t="s">
        <v>39</v>
      </c>
      <c r="E20" s="159" t="s">
        <v>40</v>
      </c>
      <c r="F20" s="159" t="s">
        <v>41</v>
      </c>
      <c r="G20" s="29">
        <v>10000</v>
      </c>
      <c r="H20" s="30">
        <v>0</v>
      </c>
      <c r="I20" s="30">
        <v>0</v>
      </c>
      <c r="J20" s="31">
        <v>1</v>
      </c>
      <c r="K20" s="31">
        <v>8</v>
      </c>
      <c r="L20" s="31">
        <v>0</v>
      </c>
      <c r="M20" s="32">
        <v>9</v>
      </c>
    </row>
    <row r="21" spans="1:13" ht="15" customHeight="1">
      <c r="A21" s="167"/>
      <c r="B21" s="168"/>
      <c r="C21" s="105" t="s">
        <v>151</v>
      </c>
      <c r="D21" s="168"/>
      <c r="E21" s="168"/>
      <c r="F21" s="168"/>
      <c r="G21" s="29">
        <v>5000</v>
      </c>
      <c r="H21" s="30">
        <v>0</v>
      </c>
      <c r="I21" s="30">
        <v>0</v>
      </c>
      <c r="J21" s="31">
        <v>1</v>
      </c>
      <c r="K21" s="31">
        <v>4</v>
      </c>
      <c r="L21" s="31">
        <v>0</v>
      </c>
      <c r="M21" s="32">
        <v>5</v>
      </c>
    </row>
    <row r="22" spans="1:13">
      <c r="A22" s="167"/>
      <c r="B22" s="168"/>
      <c r="C22" s="105" t="s">
        <v>37</v>
      </c>
      <c r="D22" s="160"/>
      <c r="E22" s="160"/>
      <c r="F22" s="160"/>
      <c r="G22" s="29">
        <v>4700</v>
      </c>
      <c r="H22" s="30">
        <v>0</v>
      </c>
      <c r="I22" s="30">
        <v>0</v>
      </c>
      <c r="J22" s="31">
        <v>1</v>
      </c>
      <c r="K22" s="31">
        <v>4</v>
      </c>
      <c r="L22" s="31">
        <v>0</v>
      </c>
      <c r="M22" s="32">
        <v>5</v>
      </c>
    </row>
    <row r="23" spans="1:13" ht="15" customHeight="1">
      <c r="A23" s="167"/>
      <c r="B23" s="168"/>
      <c r="C23" s="105" t="s">
        <v>152</v>
      </c>
      <c r="D23" s="159" t="s">
        <v>42</v>
      </c>
      <c r="E23" s="159" t="s">
        <v>43</v>
      </c>
      <c r="F23" s="159" t="s">
        <v>41</v>
      </c>
      <c r="G23" s="29">
        <v>70000</v>
      </c>
      <c r="H23" s="30">
        <v>0</v>
      </c>
      <c r="I23" s="30">
        <v>0</v>
      </c>
      <c r="J23" s="31">
        <v>3</v>
      </c>
      <c r="K23" s="31">
        <v>56</v>
      </c>
      <c r="L23" s="31">
        <v>0</v>
      </c>
      <c r="M23" s="32">
        <v>59</v>
      </c>
    </row>
    <row r="24" spans="1:13">
      <c r="A24" s="167"/>
      <c r="B24" s="168"/>
      <c r="C24" s="105" t="s">
        <v>151</v>
      </c>
      <c r="D24" s="168"/>
      <c r="E24" s="168"/>
      <c r="F24" s="168"/>
      <c r="G24" s="29">
        <v>5000</v>
      </c>
      <c r="H24" s="30">
        <v>0</v>
      </c>
      <c r="I24" s="30">
        <v>0</v>
      </c>
      <c r="J24" s="31">
        <v>1</v>
      </c>
      <c r="K24" s="31">
        <v>4</v>
      </c>
      <c r="L24" s="31">
        <v>0</v>
      </c>
      <c r="M24" s="32">
        <v>5</v>
      </c>
    </row>
    <row r="25" spans="1:13">
      <c r="A25" s="167"/>
      <c r="B25" s="160"/>
      <c r="C25" s="105" t="s">
        <v>37</v>
      </c>
      <c r="D25" s="160"/>
      <c r="E25" s="160"/>
      <c r="F25" s="160"/>
      <c r="G25" s="29">
        <v>7000</v>
      </c>
      <c r="H25" s="30">
        <v>0</v>
      </c>
      <c r="I25" s="30">
        <v>0</v>
      </c>
      <c r="J25" s="31">
        <v>1</v>
      </c>
      <c r="K25" s="31">
        <v>6</v>
      </c>
      <c r="L25" s="31">
        <v>0</v>
      </c>
      <c r="M25" s="32">
        <v>7</v>
      </c>
    </row>
    <row r="26" spans="1:13" ht="32.450000000000003" customHeight="1">
      <c r="A26" s="158"/>
      <c r="B26" s="24" t="s">
        <v>44</v>
      </c>
      <c r="C26" s="163" t="s">
        <v>117</v>
      </c>
      <c r="D26" s="164"/>
      <c r="E26" s="24" t="s">
        <v>118</v>
      </c>
      <c r="F26" s="24" t="s">
        <v>45</v>
      </c>
      <c r="G26" s="29">
        <v>2000000</v>
      </c>
      <c r="H26" s="30">
        <v>0</v>
      </c>
      <c r="I26" s="30">
        <v>0</v>
      </c>
      <c r="J26" s="31">
        <v>80</v>
      </c>
      <c r="K26" s="31">
        <v>1600</v>
      </c>
      <c r="L26" s="31">
        <v>0</v>
      </c>
      <c r="M26" s="32">
        <v>1680</v>
      </c>
    </row>
    <row r="27" spans="1:13" ht="15" customHeight="1">
      <c r="A27" s="157" t="s">
        <v>46</v>
      </c>
      <c r="B27" s="159" t="s">
        <v>33</v>
      </c>
      <c r="C27" s="163" t="s">
        <v>47</v>
      </c>
      <c r="D27" s="164"/>
      <c r="E27" s="40" t="s">
        <v>48</v>
      </c>
      <c r="F27" s="40" t="s">
        <v>49</v>
      </c>
      <c r="G27" s="35">
        <f>0.21*165000</f>
        <v>34650</v>
      </c>
      <c r="H27" s="36">
        <v>535</v>
      </c>
      <c r="I27" s="37">
        <v>4.5</v>
      </c>
      <c r="J27" s="31">
        <v>2</v>
      </c>
      <c r="K27" s="31">
        <v>22</v>
      </c>
      <c r="L27" s="31">
        <v>18</v>
      </c>
      <c r="M27" s="32">
        <v>42</v>
      </c>
    </row>
    <row r="28" spans="1:13" ht="30">
      <c r="A28" s="167"/>
      <c r="B28" s="160"/>
      <c r="C28" s="163" t="s">
        <v>37</v>
      </c>
      <c r="D28" s="164"/>
      <c r="E28" s="25" t="s">
        <v>50</v>
      </c>
      <c r="F28" s="25" t="s">
        <v>102</v>
      </c>
      <c r="G28" s="29">
        <v>2238.1799999999998</v>
      </c>
      <c r="H28" s="34">
        <f>1460*12.6/453.59</f>
        <v>40.556449657179392</v>
      </c>
      <c r="I28" s="34">
        <f>1460*0.53/453.59</f>
        <v>1.705945898278181</v>
      </c>
      <c r="J28" s="31">
        <v>1</v>
      </c>
      <c r="K28" s="31">
        <v>2</v>
      </c>
      <c r="L28" s="31">
        <v>7</v>
      </c>
      <c r="M28" s="32">
        <v>10</v>
      </c>
    </row>
    <row r="29" spans="1:13" ht="15" customHeight="1">
      <c r="A29" s="158"/>
      <c r="B29" s="23" t="s">
        <v>44</v>
      </c>
      <c r="C29" s="163" t="s">
        <v>51</v>
      </c>
      <c r="D29" s="164"/>
      <c r="E29" s="24" t="s">
        <v>119</v>
      </c>
      <c r="F29" s="26">
        <v>6152</v>
      </c>
      <c r="G29" s="29">
        <v>61520</v>
      </c>
      <c r="H29" s="38">
        <f>H27</f>
        <v>535</v>
      </c>
      <c r="I29" s="39">
        <f>I27</f>
        <v>4.5</v>
      </c>
      <c r="J29" s="31">
        <v>3</v>
      </c>
      <c r="K29" s="31">
        <v>22</v>
      </c>
      <c r="L29" s="31">
        <v>18</v>
      </c>
      <c r="M29" s="32">
        <v>43</v>
      </c>
    </row>
    <row r="30" spans="1:13" ht="15" customHeight="1">
      <c r="A30" s="165" t="s">
        <v>52</v>
      </c>
      <c r="B30" s="153" t="s">
        <v>53</v>
      </c>
      <c r="C30" s="155" t="s">
        <v>103</v>
      </c>
      <c r="D30" s="156"/>
      <c r="E30" s="27" t="s">
        <v>104</v>
      </c>
      <c r="F30" s="25" t="s">
        <v>105</v>
      </c>
      <c r="G30" s="29">
        <v>260000</v>
      </c>
      <c r="H30" s="30">
        <v>0</v>
      </c>
      <c r="I30" s="30">
        <v>0</v>
      </c>
      <c r="J30" s="31">
        <v>11</v>
      </c>
      <c r="K30" s="31">
        <v>4</v>
      </c>
      <c r="L30" s="31">
        <v>0</v>
      </c>
      <c r="M30" s="32">
        <v>15</v>
      </c>
    </row>
    <row r="31" spans="1:13" ht="15" customHeight="1">
      <c r="A31" s="166"/>
      <c r="B31" s="154"/>
      <c r="C31" s="155" t="s">
        <v>106</v>
      </c>
      <c r="D31" s="156"/>
      <c r="E31" s="27" t="s">
        <v>104</v>
      </c>
      <c r="F31" s="25" t="s">
        <v>105</v>
      </c>
      <c r="G31" s="29">
        <v>374000</v>
      </c>
      <c r="H31" s="30">
        <v>0</v>
      </c>
      <c r="I31" s="30">
        <v>0</v>
      </c>
      <c r="J31" s="31">
        <v>15</v>
      </c>
      <c r="K31" s="31">
        <v>4</v>
      </c>
      <c r="L31" s="31">
        <v>0</v>
      </c>
      <c r="M31" s="32">
        <v>19</v>
      </c>
    </row>
    <row r="32" spans="1:13" ht="15" customHeight="1">
      <c r="A32" s="43" t="s">
        <v>55</v>
      </c>
      <c r="B32" s="25" t="s">
        <v>53</v>
      </c>
      <c r="C32" s="155" t="s">
        <v>107</v>
      </c>
      <c r="D32" s="156"/>
      <c r="E32" s="27" t="s">
        <v>54</v>
      </c>
      <c r="F32" s="25" t="s">
        <v>49</v>
      </c>
      <c r="G32" s="29">
        <v>0</v>
      </c>
      <c r="H32" s="34">
        <v>14.337557330389483</v>
      </c>
      <c r="I32" s="30">
        <v>0</v>
      </c>
      <c r="J32" s="31">
        <v>0</v>
      </c>
      <c r="K32" s="31">
        <v>1</v>
      </c>
      <c r="L32" s="31">
        <v>0</v>
      </c>
      <c r="M32" s="32">
        <v>1</v>
      </c>
    </row>
    <row r="33" spans="1:13" ht="15" customHeight="1">
      <c r="A33" s="157" t="s">
        <v>56</v>
      </c>
      <c r="B33" s="159" t="s">
        <v>57</v>
      </c>
      <c r="C33" s="161" t="s">
        <v>58</v>
      </c>
      <c r="D33" s="162"/>
      <c r="E33" s="24" t="s">
        <v>59</v>
      </c>
      <c r="F33" s="26" t="s">
        <v>60</v>
      </c>
      <c r="G33" s="29">
        <v>65000</v>
      </c>
      <c r="H33" s="30">
        <v>0</v>
      </c>
      <c r="I33" s="30">
        <v>0</v>
      </c>
      <c r="J33" s="31">
        <v>3</v>
      </c>
      <c r="K33" s="31">
        <v>52</v>
      </c>
      <c r="L33" s="31">
        <v>0</v>
      </c>
      <c r="M33" s="32">
        <v>55</v>
      </c>
    </row>
    <row r="34" spans="1:13">
      <c r="A34" s="158"/>
      <c r="B34" s="160"/>
      <c r="C34" s="163" t="s">
        <v>61</v>
      </c>
      <c r="D34" s="164"/>
      <c r="E34" s="24" t="s">
        <v>62</v>
      </c>
      <c r="F34" s="26" t="s">
        <v>63</v>
      </c>
      <c r="G34" s="29">
        <v>60000</v>
      </c>
      <c r="H34" s="30">
        <v>0</v>
      </c>
      <c r="I34" s="30">
        <v>0</v>
      </c>
      <c r="J34" s="31">
        <v>3</v>
      </c>
      <c r="K34" s="31">
        <v>48</v>
      </c>
      <c r="L34" s="31">
        <v>0</v>
      </c>
      <c r="M34" s="32">
        <v>51</v>
      </c>
    </row>
    <row r="35" spans="1:13">
      <c r="B35" s="4"/>
    </row>
    <row r="36" spans="1:13">
      <c r="A36" s="41"/>
      <c r="F36" s="19"/>
      <c r="G36" s="21"/>
    </row>
    <row r="37" spans="1:13">
      <c r="F37" s="20"/>
      <c r="G37" s="22"/>
      <c r="J37" s="6"/>
      <c r="K37" s="6"/>
    </row>
    <row r="38" spans="1:13">
      <c r="D38" s="7"/>
      <c r="E38" s="7"/>
      <c r="F38" s="7"/>
      <c r="G38" s="7"/>
      <c r="H38" s="7"/>
      <c r="I38" s="7"/>
      <c r="J38" s="7"/>
      <c r="K38" s="7"/>
    </row>
    <row r="39" spans="1:13">
      <c r="D39" s="7"/>
      <c r="E39" s="7"/>
      <c r="F39" s="7"/>
      <c r="G39" s="7"/>
      <c r="H39" s="7"/>
      <c r="I39" s="7"/>
      <c r="J39" s="7"/>
      <c r="K39" s="7"/>
    </row>
    <row r="40" spans="1:13">
      <c r="D40" s="7"/>
      <c r="E40" s="7"/>
      <c r="F40" s="7"/>
      <c r="G40" s="7"/>
      <c r="H40" s="7"/>
      <c r="I40" s="7"/>
      <c r="J40" s="7"/>
      <c r="K40" s="7"/>
    </row>
    <row r="41" spans="1:13">
      <c r="D41" s="7"/>
      <c r="E41" s="7"/>
      <c r="F41" s="7"/>
      <c r="G41" s="7"/>
      <c r="H41" s="7"/>
      <c r="I41" s="7"/>
      <c r="J41" s="7"/>
      <c r="K41" s="7"/>
    </row>
  </sheetData>
  <sheetProtection algorithmName="SHA-512" hashValue="5JBhxvqq889kaLAp8l1xJgIC3t8xVG5epp+X3kzUqjcGqYSsTVE6iwqWqPHAzIwshMp0nXBCen6lPwf54inyDQ==" saltValue="VbIulqwS+CKCtccJntiEzg==" spinCount="100000" sheet="1" objects="1" scenarios="1"/>
  <mergeCells count="41">
    <mergeCell ref="B2:D2"/>
    <mergeCell ref="D3:D4"/>
    <mergeCell ref="B3:B7"/>
    <mergeCell ref="E3:E7"/>
    <mergeCell ref="F3:F7"/>
    <mergeCell ref="D5:D7"/>
    <mergeCell ref="A3:A7"/>
    <mergeCell ref="D8:D9"/>
    <mergeCell ref="A8:A12"/>
    <mergeCell ref="B8:B12"/>
    <mergeCell ref="D10:D12"/>
    <mergeCell ref="E8:E12"/>
    <mergeCell ref="F8:F12"/>
    <mergeCell ref="B13:C13"/>
    <mergeCell ref="B14:C14"/>
    <mergeCell ref="A15:A26"/>
    <mergeCell ref="B15:B25"/>
    <mergeCell ref="D15:D19"/>
    <mergeCell ref="C26:D26"/>
    <mergeCell ref="F15:F18"/>
    <mergeCell ref="D20:D22"/>
    <mergeCell ref="E20:E22"/>
    <mergeCell ref="F20:F22"/>
    <mergeCell ref="D23:D25"/>
    <mergeCell ref="E23:E25"/>
    <mergeCell ref="F23:F25"/>
    <mergeCell ref="E15:E19"/>
    <mergeCell ref="A27:A29"/>
    <mergeCell ref="B27:B28"/>
    <mergeCell ref="C27:D27"/>
    <mergeCell ref="C28:D28"/>
    <mergeCell ref="C29:D29"/>
    <mergeCell ref="B30:B31"/>
    <mergeCell ref="C32:D32"/>
    <mergeCell ref="A33:A34"/>
    <mergeCell ref="B33:B34"/>
    <mergeCell ref="C33:D33"/>
    <mergeCell ref="C34:D34"/>
    <mergeCell ref="A30:A31"/>
    <mergeCell ref="C30:D30"/>
    <mergeCell ref="C31:D31"/>
  </mergeCells>
  <pageMargins left="0.7" right="0.7" top="0.75" bottom="0.75" header="0.3" footer="0.3"/>
  <pageSetup scale="2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2F6D-2216-41C2-A084-DB896C1301FE}">
  <dimension ref="A1:I28"/>
  <sheetViews>
    <sheetView workbookViewId="0">
      <selection activeCell="G28" sqref="G28"/>
    </sheetView>
  </sheetViews>
  <sheetFormatPr defaultRowHeight="15"/>
  <cols>
    <col min="1" max="1" width="29.42578125" bestFit="1" customWidth="1"/>
    <col min="2" max="2" width="9.140625" style="75"/>
    <col min="3" max="3" width="12.42578125" style="75" bestFit="1" customWidth="1"/>
    <col min="4" max="4" width="8.7109375" style="75"/>
    <col min="6" max="6" width="14.140625" bestFit="1" customWidth="1"/>
    <col min="7" max="9" width="9.140625" style="1"/>
  </cols>
  <sheetData>
    <row r="1" spans="1:9">
      <c r="A1" s="68"/>
      <c r="B1" s="73" t="s">
        <v>4</v>
      </c>
      <c r="C1" s="73" t="s">
        <v>5</v>
      </c>
      <c r="D1" s="73" t="s">
        <v>100</v>
      </c>
      <c r="E1" s="44"/>
      <c r="F1" s="72" t="s">
        <v>68</v>
      </c>
      <c r="G1" s="69" t="s">
        <v>66</v>
      </c>
      <c r="H1" s="69" t="s">
        <v>65</v>
      </c>
      <c r="I1" s="69" t="s">
        <v>25</v>
      </c>
    </row>
    <row r="2" spans="1:9">
      <c r="A2" s="70" t="s">
        <v>1</v>
      </c>
      <c r="B2" s="76">
        <v>1000</v>
      </c>
      <c r="C2" s="74">
        <v>1</v>
      </c>
      <c r="D2" s="73">
        <f>C2/B2</f>
        <v>1E-3</v>
      </c>
      <c r="E2" s="44"/>
      <c r="F2" s="67">
        <v>200000</v>
      </c>
      <c r="G2" s="69">
        <v>0.12</v>
      </c>
      <c r="H2" s="69">
        <v>0.33</v>
      </c>
      <c r="I2" s="69">
        <v>0.95</v>
      </c>
    </row>
    <row r="3" spans="1:9">
      <c r="A3" s="70" t="s">
        <v>72</v>
      </c>
      <c r="B3" s="76">
        <v>365</v>
      </c>
      <c r="C3" s="74">
        <f>'WAIRE Menu'!M8</f>
        <v>42</v>
      </c>
      <c r="D3" s="73">
        <f t="shared" ref="D3:D28" si="0">C3/B3</f>
        <v>0.11506849315068493</v>
      </c>
      <c r="E3" s="44"/>
      <c r="F3" s="67">
        <v>100000</v>
      </c>
      <c r="G3" s="69">
        <v>0.14000000000000001</v>
      </c>
      <c r="H3" s="69">
        <v>0.21</v>
      </c>
      <c r="I3" s="69">
        <v>0.67</v>
      </c>
    </row>
    <row r="4" spans="1:9">
      <c r="A4" s="70" t="s">
        <v>82</v>
      </c>
      <c r="B4" s="76">
        <v>1</v>
      </c>
      <c r="C4" s="74">
        <f>'WAIRE Menu'!M3</f>
        <v>55</v>
      </c>
      <c r="D4" s="73">
        <f t="shared" si="0"/>
        <v>55</v>
      </c>
      <c r="E4" s="44"/>
      <c r="F4" s="72" t="s">
        <v>69</v>
      </c>
      <c r="G4" s="69">
        <v>0.28999999999999998</v>
      </c>
      <c r="H4" s="69">
        <v>0.75</v>
      </c>
      <c r="I4" s="69">
        <v>2.17</v>
      </c>
    </row>
    <row r="5" spans="1:9">
      <c r="A5" s="70" t="s">
        <v>73</v>
      </c>
      <c r="B5" s="76">
        <v>365</v>
      </c>
      <c r="C5" s="74">
        <f>'WAIRE Menu'!M10</f>
        <v>51</v>
      </c>
      <c r="D5" s="73">
        <f t="shared" si="0"/>
        <v>0.13972602739726028</v>
      </c>
      <c r="E5" s="44"/>
      <c r="F5" s="44"/>
    </row>
    <row r="6" spans="1:9">
      <c r="A6" s="70" t="s">
        <v>83</v>
      </c>
      <c r="B6" s="76">
        <v>1</v>
      </c>
      <c r="C6" s="74">
        <f>'WAIRE Menu'!M5</f>
        <v>126</v>
      </c>
      <c r="D6" s="73">
        <f t="shared" si="0"/>
        <v>126</v>
      </c>
      <c r="E6" s="44"/>
      <c r="F6" s="44"/>
    </row>
    <row r="7" spans="1:9">
      <c r="A7" s="70" t="s">
        <v>74</v>
      </c>
      <c r="B7" s="76">
        <v>365</v>
      </c>
      <c r="C7" s="74">
        <f>'WAIRE Menu'!M9</f>
        <v>12</v>
      </c>
      <c r="D7" s="73">
        <f t="shared" si="0"/>
        <v>3.287671232876712E-2</v>
      </c>
      <c r="E7" s="44"/>
      <c r="F7" s="44"/>
    </row>
    <row r="8" spans="1:9">
      <c r="A8" s="70" t="s">
        <v>84</v>
      </c>
      <c r="B8" s="76">
        <v>1</v>
      </c>
      <c r="C8" s="74">
        <f>'WAIRE Menu'!M4</f>
        <v>26</v>
      </c>
      <c r="D8" s="73">
        <f t="shared" si="0"/>
        <v>26</v>
      </c>
      <c r="E8" s="44"/>
      <c r="F8" s="44"/>
    </row>
    <row r="9" spans="1:9">
      <c r="A9" s="70" t="s">
        <v>75</v>
      </c>
      <c r="B9" s="76">
        <v>365</v>
      </c>
      <c r="C9" s="74">
        <f>'WAIRE Menu'!M11</f>
        <v>12</v>
      </c>
      <c r="D9" s="73">
        <f t="shared" si="0"/>
        <v>3.287671232876712E-2</v>
      </c>
      <c r="E9" s="44"/>
      <c r="F9" s="44"/>
    </row>
    <row r="10" spans="1:9">
      <c r="A10" s="70" t="s">
        <v>85</v>
      </c>
      <c r="B10" s="76">
        <v>1</v>
      </c>
      <c r="C10" s="74">
        <f>'WAIRE Menu'!M6</f>
        <v>68</v>
      </c>
      <c r="D10" s="73">
        <f t="shared" si="0"/>
        <v>68</v>
      </c>
      <c r="E10" s="44"/>
      <c r="F10" s="44"/>
    </row>
    <row r="11" spans="1:9">
      <c r="A11" s="70" t="s">
        <v>108</v>
      </c>
      <c r="B11" s="76">
        <v>365</v>
      </c>
      <c r="C11" s="74">
        <f>'WAIRE Menu'!M12</f>
        <v>9</v>
      </c>
      <c r="D11" s="73">
        <f t="shared" si="0"/>
        <v>2.4657534246575342E-2</v>
      </c>
      <c r="E11" s="44"/>
      <c r="F11" s="44"/>
    </row>
    <row r="12" spans="1:9">
      <c r="A12" s="70" t="s">
        <v>109</v>
      </c>
      <c r="B12" s="76">
        <v>1</v>
      </c>
      <c r="C12" s="74">
        <f>'WAIRE Menu'!M7</f>
        <v>14</v>
      </c>
      <c r="D12" s="73">
        <f t="shared" si="0"/>
        <v>14</v>
      </c>
      <c r="E12" s="44"/>
      <c r="F12" s="44"/>
    </row>
    <row r="13" spans="1:9">
      <c r="A13" s="70" t="s">
        <v>76</v>
      </c>
      <c r="B13" s="76">
        <v>1</v>
      </c>
      <c r="C13" s="74">
        <f>'WAIRE Menu'!M26</f>
        <v>1680</v>
      </c>
      <c r="D13" s="73">
        <f t="shared" si="0"/>
        <v>1680</v>
      </c>
      <c r="E13" s="44"/>
      <c r="F13" s="44"/>
    </row>
    <row r="14" spans="1:9">
      <c r="A14" s="70" t="s">
        <v>2</v>
      </c>
      <c r="B14" s="76">
        <v>6152</v>
      </c>
      <c r="C14" s="74">
        <f>'WAIRE Menu'!M29</f>
        <v>43</v>
      </c>
      <c r="D14" s="73">
        <f t="shared" si="0"/>
        <v>6.9895968790637192E-3</v>
      </c>
      <c r="E14" s="44"/>
      <c r="F14" s="44"/>
    </row>
    <row r="15" spans="1:9">
      <c r="A15" s="53" t="s">
        <v>144</v>
      </c>
      <c r="B15" s="76">
        <v>1</v>
      </c>
      <c r="C15" s="74">
        <f>SUM('WAIRE Menu'!M24,'WAIRE Menu'!M21,'WAIRE Menu'!M18)</f>
        <v>15</v>
      </c>
      <c r="D15" s="73">
        <f t="shared" si="0"/>
        <v>15</v>
      </c>
      <c r="E15" s="44"/>
      <c r="F15" s="44"/>
    </row>
    <row r="16" spans="1:9">
      <c r="A16" s="53" t="s">
        <v>145</v>
      </c>
      <c r="B16" s="76">
        <v>1</v>
      </c>
      <c r="C16" s="74">
        <f>SUM('WAIRE Menu'!M23,'WAIRE Menu'!M20,'WAIRE Menu'!M17)</f>
        <v>94</v>
      </c>
      <c r="D16" s="73">
        <f t="shared" si="0"/>
        <v>94</v>
      </c>
      <c r="E16" s="44"/>
      <c r="F16" s="44"/>
    </row>
    <row r="17" spans="1:6">
      <c r="A17" s="53" t="s">
        <v>146</v>
      </c>
      <c r="B17" s="76">
        <v>1</v>
      </c>
      <c r="C17" s="74">
        <f>SUM('WAIRE Menu'!M23,'WAIRE Menu'!M20,'WAIRE Menu'!M16)</f>
        <v>119</v>
      </c>
      <c r="D17" s="73">
        <f t="shared" si="0"/>
        <v>119</v>
      </c>
      <c r="E17" s="44"/>
      <c r="F17" s="44"/>
    </row>
    <row r="18" spans="1:6">
      <c r="A18" s="53" t="s">
        <v>147</v>
      </c>
      <c r="B18" s="76">
        <v>1</v>
      </c>
      <c r="C18" s="74">
        <f>SUM('WAIRE Menu'!M23,'WAIRE Menu'!M20,'WAIRE Menu'!M15)</f>
        <v>186</v>
      </c>
      <c r="D18" s="73">
        <f t="shared" si="0"/>
        <v>186</v>
      </c>
      <c r="E18" s="44"/>
      <c r="F18" s="44"/>
    </row>
    <row r="19" spans="1:6">
      <c r="A19" s="70" t="s">
        <v>110</v>
      </c>
      <c r="B19" s="76">
        <v>1</v>
      </c>
      <c r="C19" s="74">
        <f>SUM('WAIRE Menu'!M19,'WAIRE Menu'!M22,'WAIRE Menu'!M25)</f>
        <v>15</v>
      </c>
      <c r="D19" s="73">
        <f>C19/B19</f>
        <v>15</v>
      </c>
      <c r="E19" s="44"/>
      <c r="F19" s="44"/>
    </row>
    <row r="20" spans="1:6">
      <c r="A20" s="70" t="s">
        <v>3</v>
      </c>
      <c r="B20" s="76">
        <v>165000</v>
      </c>
      <c r="C20" s="74">
        <f>'WAIRE Menu'!M27</f>
        <v>42</v>
      </c>
      <c r="D20" s="73">
        <f t="shared" si="0"/>
        <v>2.5454545454545456E-4</v>
      </c>
      <c r="E20" s="44"/>
      <c r="F20" s="44"/>
    </row>
    <row r="21" spans="1:6">
      <c r="A21" s="70" t="s">
        <v>111</v>
      </c>
      <c r="B21" s="76">
        <v>10658</v>
      </c>
      <c r="C21" s="74">
        <f>'WAIRE Menu'!M28</f>
        <v>10</v>
      </c>
      <c r="D21" s="73">
        <f t="shared" si="0"/>
        <v>9.3826233814974663E-4</v>
      </c>
      <c r="E21" s="44"/>
      <c r="F21" s="44"/>
    </row>
    <row r="22" spans="1:6">
      <c r="A22" s="70" t="s">
        <v>90</v>
      </c>
      <c r="B22" s="76">
        <v>1</v>
      </c>
      <c r="C22" s="74">
        <f>'WAIRE Menu'!M13</f>
        <v>177</v>
      </c>
      <c r="D22" s="73">
        <f t="shared" si="0"/>
        <v>177</v>
      </c>
      <c r="E22" s="44"/>
      <c r="F22" s="44"/>
    </row>
    <row r="23" spans="1:6">
      <c r="A23" s="70" t="s">
        <v>91</v>
      </c>
      <c r="B23" s="76">
        <v>1000</v>
      </c>
      <c r="C23" s="74">
        <f>'WAIRE Menu'!M14</f>
        <v>291</v>
      </c>
      <c r="D23" s="73">
        <f t="shared" si="0"/>
        <v>0.29099999999999998</v>
      </c>
      <c r="E23" s="44"/>
      <c r="F23" s="44"/>
    </row>
    <row r="24" spans="1:6">
      <c r="A24" s="70" t="s">
        <v>113</v>
      </c>
      <c r="B24" s="76">
        <v>100</v>
      </c>
      <c r="C24" s="74">
        <f>'WAIRE Menu'!M30</f>
        <v>15</v>
      </c>
      <c r="D24" s="73">
        <f t="shared" si="0"/>
        <v>0.15</v>
      </c>
      <c r="E24" s="44"/>
      <c r="F24" s="44"/>
    </row>
    <row r="25" spans="1:6">
      <c r="A25" s="70" t="s">
        <v>114</v>
      </c>
      <c r="B25" s="76">
        <v>100</v>
      </c>
      <c r="C25" s="74">
        <f>'WAIRE Menu'!M31</f>
        <v>19</v>
      </c>
      <c r="D25" s="73">
        <f t="shared" si="0"/>
        <v>0.19</v>
      </c>
      <c r="E25" s="44"/>
      <c r="F25" s="44"/>
    </row>
    <row r="26" spans="1:6">
      <c r="A26" s="70" t="s">
        <v>112</v>
      </c>
      <c r="B26" s="76">
        <v>165000</v>
      </c>
      <c r="C26" s="74">
        <f>'WAIRE Menu'!M32</f>
        <v>1</v>
      </c>
      <c r="D26" s="73">
        <f>C26/B26</f>
        <v>6.060606060606061E-6</v>
      </c>
      <c r="E26" s="44"/>
      <c r="F26" s="44"/>
    </row>
    <row r="27" spans="1:6">
      <c r="A27" s="70" t="s">
        <v>77</v>
      </c>
      <c r="B27" s="76">
        <v>25</v>
      </c>
      <c r="C27" s="74">
        <f>'WAIRE Menu'!M33</f>
        <v>55</v>
      </c>
      <c r="D27" s="73">
        <f t="shared" si="0"/>
        <v>2.2000000000000002</v>
      </c>
      <c r="E27" s="44"/>
      <c r="F27" s="44"/>
    </row>
    <row r="28" spans="1:6">
      <c r="A28" s="71" t="s">
        <v>94</v>
      </c>
      <c r="B28" s="76">
        <v>200</v>
      </c>
      <c r="C28" s="74">
        <f>'WAIRE Menu'!M34</f>
        <v>51</v>
      </c>
      <c r="D28" s="73">
        <f t="shared" si="0"/>
        <v>0.255</v>
      </c>
      <c r="E28" s="44"/>
      <c r="F28" s="44"/>
    </row>
  </sheetData>
  <sheetProtection algorithmName="SHA-512" hashValue="YhPMWM8Sc1j7WVanpTtHysoaRDRuaZBfhBTv86/mHyHbX7p61yAmTFcnOyRp89WlRbh8qprE4hvZoXmHA3TtBg==" saltValue="2vnbkzH9FRMb68rn5jNzZ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Calculator</vt:lpstr>
      <vt:lpstr>WAIRE Menu</vt:lpstr>
      <vt:lpstr>Data</vt:lpstr>
    </vt:vector>
  </TitlesOfParts>
  <Company>South Coast A.Q.M.D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MacMillan</dc:creator>
  <cp:lastModifiedBy>Kalam Cheung</cp:lastModifiedBy>
  <dcterms:created xsi:type="dcterms:W3CDTF">2020-02-21T18:11:40Z</dcterms:created>
  <dcterms:modified xsi:type="dcterms:W3CDTF">2021-06-23T18:10:32Z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e4fcc564-d09f-485c-b950-343197841ffb</vt:lpwstr>
  </property>
</Properties>
</file>